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64011"/>
  <bookViews>
    <workbookView xWindow="-120" yWindow="-120" windowWidth="29040" windowHeight="15840" firstSheet="7" activeTab="16"/>
  </bookViews>
  <sheets>
    <sheet name="серпень 21" sheetId="1" r:id="rId1"/>
    <sheet name="вересень 21" sheetId="2" r:id="rId2"/>
    <sheet name="жовтень 21" sheetId="3" r:id="rId3"/>
    <sheet name="лис21" sheetId="4" r:id="rId4"/>
    <sheet name="гру21" sheetId="5" r:id="rId5"/>
    <sheet name="січ22" sheetId="6" r:id="rId6"/>
    <sheet name="Аркуш1" sheetId="7" r:id="rId7"/>
    <sheet name="бер22" sheetId="8" r:id="rId8"/>
    <sheet name="кві22" sheetId="9" r:id="rId9"/>
    <sheet name="тра22" sheetId="10" r:id="rId10"/>
    <sheet name="чер22" sheetId="12" r:id="rId11"/>
    <sheet name="лип22" sheetId="13" r:id="rId12"/>
    <sheet name="сер 22" sheetId="14" r:id="rId13"/>
    <sheet name="вер 22" sheetId="15" r:id="rId14"/>
    <sheet name="жов 22" sheetId="16" r:id="rId15"/>
    <sheet name="лис 22" sheetId="17" r:id="rId16"/>
    <sheet name="гру 22" sheetId="18" r:id="rId17"/>
  </sheets>
  <definedNames>
    <definedName name="_xlnm.Print_Area" localSheetId="13">'вер 22'!$A$1:$L$44</definedName>
    <definedName name="_xlnm.Print_Area" localSheetId="16">'гру 22'!$A$1:$L$44</definedName>
    <definedName name="_xlnm.Print_Area" localSheetId="14">'жов 22'!$A$1:$L$44</definedName>
    <definedName name="_xlnm.Print_Area" localSheetId="15">'лис 22'!$A$1:$L$44</definedName>
    <definedName name="_xlnm.Print_Area" localSheetId="12">'сер 22'!$A$1:$L$44</definedName>
    <definedName name="_xlnm.Print_Area" localSheetId="0">'серпень 21'!$A$1:$L$43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8" l="1"/>
  <c r="K27" i="18" l="1"/>
  <c r="G26" i="18"/>
  <c r="J26" i="18"/>
  <c r="G27" i="18"/>
  <c r="K27" i="17"/>
  <c r="G27" i="17"/>
  <c r="K27" i="16"/>
  <c r="G27" i="16"/>
  <c r="K26" i="15"/>
  <c r="G26" i="15"/>
  <c r="J27" i="18"/>
  <c r="J27" i="17"/>
  <c r="K32" i="18" l="1"/>
  <c r="G32" i="18"/>
  <c r="J32" i="18"/>
  <c r="G30" i="18" l="1"/>
  <c r="F30" i="18"/>
  <c r="J33" i="18" l="1"/>
  <c r="J30" i="18"/>
  <c r="J34" i="18"/>
  <c r="K33" i="18" l="1"/>
  <c r="G33" i="18"/>
  <c r="G34" i="18" s="1"/>
  <c r="K30" i="18"/>
  <c r="K34" i="18" s="1"/>
  <c r="F32" i="18"/>
  <c r="F29" i="18"/>
  <c r="F26" i="18"/>
  <c r="F24" i="18"/>
  <c r="F23" i="18"/>
  <c r="F27" i="18" l="1"/>
  <c r="F33" i="18"/>
  <c r="G32" i="17"/>
  <c r="G33" i="17"/>
  <c r="K32" i="17"/>
  <c r="J32" i="17"/>
  <c r="F34" i="18" l="1"/>
  <c r="K33" i="17"/>
  <c r="K34" i="17" s="1"/>
  <c r="J33" i="17"/>
  <c r="G34" i="17"/>
  <c r="K30" i="17"/>
  <c r="J30" i="17"/>
  <c r="G30" i="17"/>
  <c r="F29" i="17"/>
  <c r="F27" i="17"/>
  <c r="F26" i="17"/>
  <c r="F24" i="17"/>
  <c r="F23" i="17"/>
  <c r="J34" i="17" l="1"/>
  <c r="F33" i="17"/>
  <c r="F30" i="17"/>
  <c r="F32" i="17"/>
  <c r="G32" i="16"/>
  <c r="K32" i="16"/>
  <c r="K29" i="16"/>
  <c r="F34" i="17" l="1"/>
  <c r="G29" i="16"/>
  <c r="K33" i="16" l="1"/>
  <c r="J33" i="16"/>
  <c r="G33" i="16"/>
  <c r="K30" i="16"/>
  <c r="J30" i="16"/>
  <c r="G30" i="16"/>
  <c r="J27" i="16"/>
  <c r="F27" i="16" s="1"/>
  <c r="F33" i="16" l="1"/>
  <c r="F32" i="16"/>
  <c r="K34" i="16"/>
  <c r="J34" i="16"/>
  <c r="G34" i="16"/>
  <c r="F30" i="16"/>
  <c r="F29" i="16"/>
  <c r="F26" i="16"/>
  <c r="F24" i="16"/>
  <c r="F23" i="16"/>
  <c r="F34" i="16" l="1"/>
  <c r="K33" i="15"/>
  <c r="J33" i="15"/>
  <c r="G33" i="15"/>
  <c r="F29" i="15"/>
  <c r="K30" i="15"/>
  <c r="J30" i="15"/>
  <c r="G30" i="15"/>
  <c r="G27" i="15"/>
  <c r="K27" i="15"/>
  <c r="K27" i="14"/>
  <c r="K34" i="15" l="1"/>
  <c r="J34" i="15"/>
  <c r="G34" i="15"/>
  <c r="G32" i="15" l="1"/>
  <c r="J33" i="13" l="1"/>
  <c r="F33" i="15" l="1"/>
  <c r="J27" i="15" l="1"/>
  <c r="F32" i="15" l="1"/>
  <c r="F27" i="15"/>
  <c r="F26" i="15"/>
  <c r="F24" i="15"/>
  <c r="F23" i="15"/>
  <c r="F30" i="15" l="1"/>
  <c r="F34" i="15" s="1"/>
  <c r="K33" i="14" l="1"/>
  <c r="K34" i="14" s="1"/>
  <c r="J33" i="14"/>
  <c r="G33" i="14"/>
  <c r="K30" i="14"/>
  <c r="J30" i="14"/>
  <c r="J34" i="14" s="1"/>
  <c r="G30" i="14"/>
  <c r="J27" i="14"/>
  <c r="G27" i="14"/>
  <c r="F32" i="14"/>
  <c r="F29" i="14"/>
  <c r="F26" i="14"/>
  <c r="F24" i="14"/>
  <c r="F23" i="14"/>
  <c r="F30" i="14" l="1"/>
  <c r="F27" i="14"/>
  <c r="F33" i="14"/>
  <c r="G34" i="14"/>
  <c r="F34" i="14"/>
  <c r="K33" i="13"/>
  <c r="G33" i="13"/>
  <c r="K30" i="13"/>
  <c r="J30" i="13"/>
  <c r="G30" i="13"/>
  <c r="G34" i="13" s="1"/>
  <c r="K27" i="13"/>
  <c r="J27" i="13"/>
  <c r="G27" i="13"/>
  <c r="K34" i="13" l="1"/>
  <c r="J34" i="13"/>
  <c r="F33" i="13"/>
  <c r="F32" i="13"/>
  <c r="F30" i="13"/>
  <c r="F29" i="13"/>
  <c r="F27" i="13"/>
  <c r="F26" i="13"/>
  <c r="F24" i="13"/>
  <c r="F23" i="13"/>
  <c r="F34" i="13" l="1"/>
  <c r="K34" i="12"/>
  <c r="J34" i="12"/>
  <c r="G34" i="12"/>
  <c r="F33" i="12"/>
  <c r="F30" i="12"/>
  <c r="F27" i="12"/>
  <c r="F32" i="12" l="1"/>
  <c r="F24" i="12" l="1"/>
  <c r="F29" i="12" l="1"/>
  <c r="F26" i="12"/>
  <c r="F23" i="12"/>
  <c r="F34" i="12" s="1"/>
  <c r="F33" i="10" l="1"/>
  <c r="F30" i="10"/>
  <c r="G34" i="10" l="1"/>
  <c r="F34" i="10" s="1"/>
  <c r="J34" i="10"/>
  <c r="K34" i="10"/>
  <c r="F32" i="10"/>
  <c r="F29" i="10"/>
  <c r="F26" i="10"/>
  <c r="F24" i="10"/>
  <c r="F23" i="10" l="1"/>
  <c r="K34" i="9" l="1"/>
  <c r="J34" i="9"/>
  <c r="G34" i="9"/>
  <c r="F33" i="9"/>
  <c r="F30" i="9"/>
  <c r="F27" i="9"/>
  <c r="F32" i="9" l="1"/>
  <c r="F23" i="9" l="1"/>
  <c r="F34" i="9" s="1"/>
  <c r="K34" i="8" l="1"/>
  <c r="J34" i="8"/>
  <c r="G34" i="8"/>
  <c r="F33" i="8"/>
  <c r="F30" i="8"/>
  <c r="F27" i="8"/>
  <c r="F32" i="8" l="1"/>
  <c r="F29" i="8" l="1"/>
  <c r="F26" i="8" l="1"/>
  <c r="F24" i="8"/>
  <c r="F23" i="8" l="1"/>
  <c r="F34" i="8" s="1"/>
  <c r="F27" i="6" l="1"/>
  <c r="F26" i="6"/>
  <c r="F33" i="6"/>
  <c r="F30" i="6"/>
  <c r="K34" i="6" l="1"/>
  <c r="J34" i="6"/>
  <c r="G34" i="6"/>
  <c r="F24" i="6"/>
  <c r="F34" i="6" s="1"/>
  <c r="F32" i="6"/>
  <c r="F29" i="6"/>
  <c r="L34" i="6" l="1"/>
  <c r="F23" i="6"/>
  <c r="K34" i="5" l="1"/>
  <c r="J34" i="5"/>
  <c r="G34" i="5"/>
  <c r="F33" i="5"/>
  <c r="F30" i="5"/>
  <c r="F27" i="5"/>
  <c r="F32" i="5" l="1"/>
  <c r="F29" i="5"/>
  <c r="F26" i="5"/>
  <c r="F24" i="5"/>
  <c r="L34" i="5" l="1"/>
  <c r="F23" i="5"/>
  <c r="F34" i="5" s="1"/>
  <c r="L34" i="4" l="1"/>
  <c r="K34" i="4"/>
  <c r="J34" i="4"/>
  <c r="G34" i="4"/>
  <c r="F33" i="4"/>
  <c r="F32" i="4"/>
  <c r="F30" i="4"/>
  <c r="F29" i="4"/>
  <c r="F27" i="4"/>
  <c r="F26" i="4"/>
  <c r="F24" i="4"/>
  <c r="F23" i="4"/>
  <c r="F34" i="4" l="1"/>
  <c r="K34" i="3"/>
  <c r="J34" i="3"/>
  <c r="G34" i="3"/>
  <c r="F33" i="3"/>
  <c r="F30" i="3"/>
  <c r="F27" i="3"/>
  <c r="F34" i="3"/>
  <c r="F32" i="3"/>
  <c r="F29" i="3"/>
  <c r="F26" i="3"/>
  <c r="F24" i="3"/>
  <c r="G34" i="2"/>
  <c r="L34" i="3" l="1"/>
  <c r="F23" i="3"/>
  <c r="J34" i="2" l="1"/>
  <c r="K34" i="2"/>
  <c r="F33" i="2"/>
  <c r="F30" i="2"/>
  <c r="F27" i="2"/>
  <c r="F32" i="2" l="1"/>
  <c r="F29" i="2"/>
  <c r="F26" i="2"/>
  <c r="F24" i="2"/>
  <c r="F34" i="2" s="1"/>
  <c r="L34" i="2" l="1"/>
  <c r="F23" i="2"/>
  <c r="L34" i="1" l="1"/>
  <c r="K34" i="1"/>
  <c r="J34" i="1"/>
  <c r="G34" i="1"/>
  <c r="F33" i="1"/>
  <c r="F32" i="1"/>
  <c r="F30" i="1"/>
  <c r="F29" i="1"/>
  <c r="F27" i="1"/>
  <c r="F26" i="1"/>
  <c r="F24" i="1"/>
  <c r="F23" i="1"/>
  <c r="F34" i="1" l="1"/>
</calcChain>
</file>

<file path=xl/comments1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<sst xmlns="http://schemas.openxmlformats.org/spreadsheetml/2006/main" count="1502" uniqueCount="85">
  <si>
    <t>ЗАТВЕРДЖЕНО
рішення виконавчого комітету Боярської міської ради 
від 12 березня 2020 року №14/6</t>
  </si>
  <si>
    <t>ЗВІТНІСТЬ</t>
  </si>
  <si>
    <t>Звіт про розрахунки за централізоване водопостачання</t>
  </si>
  <si>
    <t xml:space="preserve"> за</t>
  </si>
  <si>
    <t>серпень</t>
  </si>
  <si>
    <t>року</t>
  </si>
  <si>
    <t/>
  </si>
  <si>
    <t>(місяць)</t>
  </si>
  <si>
    <t>Подають</t>
  </si>
  <si>
    <t>Термін подання</t>
  </si>
  <si>
    <t>Форма № 2-водопостачання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</si>
  <si>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</si>
  <si>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t>до 25 числа місяця, наступного за звітним періодом</t>
  </si>
  <si>
    <t xml:space="preserve">(місячна) </t>
  </si>
  <si>
    <t>Респондент:</t>
  </si>
  <si>
    <r>
      <t xml:space="preserve">Найменування: </t>
    </r>
    <r>
      <rPr>
        <b/>
        <sz val="11"/>
        <rFont val="Times New Roman"/>
        <family val="1"/>
        <charset val="204"/>
      </rPr>
      <t>КП "Боярка-Водоканал"</t>
    </r>
  </si>
  <si>
    <t xml:space="preserve">                                                                          </t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</si>
  <si>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</si>
  <si>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</si>
  <si>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</si>
  <si>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</si>
  <si>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>Разом</t>
  </si>
  <si>
    <t xml:space="preserve">У тому числі основними споживачами </t>
  </si>
  <si>
    <t>у тому числі</t>
  </si>
  <si>
    <t>визначені органами місцевого самоврядування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</si>
  <si>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</si>
  <si>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</si>
  <si>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</si>
  <si>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</si>
  <si>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</si>
  <si>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</si>
  <si>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</si>
  <si>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</si>
  <si>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</si>
  <si>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</si>
  <si>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>Заборгованість споживачів за послуги з централізованого водопостачання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</si>
  <si>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</si>
  <si>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</si>
  <si>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</si>
  <si>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</si>
  <si>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</si>
  <si>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>Обсяг реалізації послуг з централізованого водопостачання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</si>
  <si>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</si>
  <si>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</si>
  <si>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</si>
  <si>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</si>
  <si>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</si>
  <si>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Вартість реалізації послуг з централізованого водопостачання</t>
  </si>
  <si>
    <t>05</t>
  </si>
  <si>
    <t>06</t>
  </si>
  <si>
    <t>Оплата наданих послуг з централізованого водопостачання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</si>
  <si>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</si>
  <si>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</si>
  <si>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</si>
  <si>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</si>
  <si>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Заборгованість споживачів за послуги з централізованого водопостачання на кінець звітного періоду</t>
  </si>
  <si>
    <t>09</t>
  </si>
  <si>
    <t xml:space="preserve">(підпис керівника) </t>
  </si>
  <si>
    <t xml:space="preserve">   М.П.</t>
  </si>
  <si>
    <t>(ініціали, прізвище)</t>
  </si>
  <si>
    <t>Головний бухгалтер</t>
  </si>
  <si>
    <t xml:space="preserve">(підпис головного бухгалтера) </t>
  </si>
  <si>
    <t>Бухгалтер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</si>
  <si>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</si>
  <si>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>Головний економіст</t>
  </si>
  <si>
    <t xml:space="preserve">(підпис головного економіста/економіста ) </t>
  </si>
  <si>
    <t>Директор КП Боярка-Водоканал"</t>
  </si>
  <si>
    <t xml:space="preserve">                                          Андрій МИХЕЄНКО</t>
  </si>
  <si>
    <t>Олена КУРЗЕНЄВА</t>
  </si>
  <si>
    <t>Тетяна РУБАН</t>
  </si>
  <si>
    <t>Раїса ДЕРЕМЕДВЕДЬ</t>
  </si>
  <si>
    <t>адреса для листів Київська обл. м.Боярка, Білогородська.13</t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</si>
  <si>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обл., м. Боярка, Білогородська, 13</t>
    </r>
  </si>
  <si>
    <t>вересень</t>
  </si>
  <si>
    <t>жовтень</t>
  </si>
  <si>
    <t>листопад</t>
  </si>
  <si>
    <t>грудень</t>
  </si>
  <si>
    <t>січень</t>
  </si>
  <si>
    <t>березень</t>
  </si>
  <si>
    <t>квітень</t>
  </si>
  <si>
    <t>травень</t>
  </si>
  <si>
    <t>червень</t>
  </si>
  <si>
    <t>липень</t>
  </si>
  <si>
    <t>Наталія ПАВЛЕНКО</t>
  </si>
  <si>
    <t xml:space="preserve">                                Андрій МИХЕЄНКО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</si>
</sst>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#,##0.000"/>
    <numFmt numFmtId="166" formatCode="#,##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3" fillId="2" borderId="6" xfId="0" applyFont="1" applyFill="1" applyBorder="1"/>
    <xf numFmtId="0" fontId="14" fillId="2" borderId="15" xfId="0" applyFont="1" applyFill="1" applyBorder="1" applyProtection="1">
      <protection locked="0"/>
    </xf>
    <xf numFmtId="0" fontId="15" fillId="2" borderId="15" xfId="0" applyFont="1" applyFill="1" applyBorder="1" applyProtection="1">
      <protection locked="0"/>
    </xf>
    <xf numFmtId="0" fontId="15" fillId="2" borderId="15" xfId="0" applyFont="1" applyFill="1" applyBorder="1" applyAlignment="1" applyProtection="1">
      <alignment horizontal="left" vertical="center" wrapText="1"/>
      <protection locked="0"/>
    </xf>
    <xf numFmtId="0" fontId="15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>
      <alignment horizontal="left"/>
    </xf>
    <xf numFmtId="0" fontId="15" fillId="2" borderId="17" xfId="0" applyFont="1" applyFill="1" applyBorder="1" applyAlignment="1" applyProtection="1">
      <alignment horizontal="left"/>
      <protection locked="0"/>
    </xf>
    <xf numFmtId="0" fontId="15" fillId="2" borderId="18" xfId="0" applyFont="1" applyFill="1" applyBorder="1" applyProtection="1">
      <protection locked="0"/>
    </xf>
    <xf numFmtId="0" fontId="15" fillId="2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5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/>
    <xf numFmtId="0" fontId="3" fillId="2" borderId="12" xfId="0" applyFont="1" applyFill="1" applyBorder="1" applyAlignment="1">
      <alignment wrapText="1"/>
    </xf>
    <xf numFmtId="0" fontId="2" fillId="2" borderId="11" xfId="0" applyFont="1" applyFill="1" applyBorder="1"/>
    <xf numFmtId="0" fontId="13" fillId="2" borderId="0" xfId="0" applyFont="1" applyFill="1"/>
    <xf numFmtId="0" fontId="9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right" vertical="center" indent="1"/>
    </xf>
    <xf numFmtId="164" fontId="9" fillId="2" borderId="16" xfId="0" applyNumberFormat="1" applyFont="1" applyFill="1" applyBorder="1" applyAlignment="1">
      <alignment horizontal="right" vertical="center" indent="1"/>
    </xf>
    <xf numFmtId="0" fontId="18" fillId="0" borderId="0" xfId="0" applyFont="1"/>
    <xf numFmtId="0" fontId="9" fillId="2" borderId="36" xfId="0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right" vertical="center"/>
    </xf>
    <xf numFmtId="165" fontId="9" fillId="2" borderId="36" xfId="0" applyNumberFormat="1" applyFont="1" applyFill="1" applyBorder="1" applyAlignment="1" applyProtection="1">
      <alignment horizontal="right" vertical="center"/>
      <protection locked="0"/>
    </xf>
    <xf numFmtId="165" fontId="9" fillId="2" borderId="35" xfId="0" applyNumberFormat="1" applyFont="1" applyFill="1" applyBorder="1" applyAlignment="1" applyProtection="1">
      <alignment horizontal="right" vertical="center"/>
      <protection locked="0"/>
    </xf>
    <xf numFmtId="0" fontId="9" fillId="2" borderId="38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right" vertical="center"/>
    </xf>
    <xf numFmtId="165" fontId="9" fillId="2" borderId="37" xfId="0" applyNumberFormat="1" applyFont="1" applyFill="1" applyBorder="1" applyAlignment="1" applyProtection="1">
      <alignment horizontal="right" vertical="center"/>
      <protection locked="0"/>
    </xf>
    <xf numFmtId="49" fontId="9" fillId="2" borderId="33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right" vertical="center" indent="1"/>
    </xf>
    <xf numFmtId="165" fontId="9" fillId="2" borderId="33" xfId="0" applyNumberFormat="1" applyFont="1" applyFill="1" applyBorder="1" applyAlignment="1">
      <alignment horizontal="right" vertical="center" indent="1"/>
    </xf>
    <xf numFmtId="165" fontId="9" fillId="2" borderId="16" xfId="0" applyNumberFormat="1" applyFont="1" applyFill="1" applyBorder="1" applyAlignment="1">
      <alignment horizontal="right" vertical="center" indent="1"/>
    </xf>
    <xf numFmtId="0" fontId="9" fillId="2" borderId="39" xfId="0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65" fontId="9" fillId="2" borderId="38" xfId="0" applyNumberFormat="1" applyFont="1" applyFill="1" applyBorder="1" applyAlignment="1" applyProtection="1">
      <alignment horizontal="right" vertical="center"/>
      <protection locked="0"/>
    </xf>
    <xf numFmtId="165" fontId="9" fillId="2" borderId="40" xfId="0" applyNumberFormat="1" applyFont="1" applyFill="1" applyBorder="1" applyAlignment="1" applyProtection="1">
      <alignment horizontal="right" vertical="center"/>
      <protection locked="0"/>
    </xf>
    <xf numFmtId="165" fontId="6" fillId="3" borderId="31" xfId="0" applyNumberFormat="1" applyFont="1" applyFill="1" applyBorder="1" applyAlignment="1">
      <alignment horizontal="right" vertical="center"/>
    </xf>
    <xf numFmtId="165" fontId="6" fillId="0" borderId="31" xfId="0" applyNumberFormat="1" applyFont="1" applyFill="1" applyBorder="1" applyAlignment="1">
      <alignment horizontal="right" vertical="center"/>
    </xf>
    <xf numFmtId="165" fontId="6" fillId="2" borderId="3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13" fillId="0" borderId="7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166" fontId="3" fillId="0" borderId="7" xfId="0" applyNumberFormat="1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center" wrapText="1"/>
      <protection locked="0"/>
    </xf>
    <xf numFmtId="49" fontId="3" fillId="0" borderId="0" xfId="0" applyNumberFormat="1" applyFont="1" applyAlignment="1"/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vertical="top"/>
      <protection locked="0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20" fillId="0" borderId="0" xfId="0" applyFont="1"/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7" fillId="2" borderId="22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2" borderId="19" xfId="0" applyFont="1" applyFill="1" applyBorder="1" applyProtection="1">
      <protection locked="0"/>
    </xf>
    <xf numFmtId="0" fontId="15" fillId="2" borderId="20" xfId="0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6" fillId="2" borderId="1" xfId="0" applyFont="1" applyFill="1" applyBorder="1" applyAlignment="1" applyProtection="1">
      <protection locked="0"/>
    </xf>
    <xf numFmtId="0" fontId="16" fillId="2" borderId="4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0" fontId="16" fillId="2" borderId="4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</cellXfs>
  <cellStyles count="2">
    <cellStyle name="Звичайний" xfId="0" builtinId="0"/>
    <cellStyle name="Фінансовий" xfId="1" builtinId="3"/>
  </cellStyles>
  <dxfs count="176"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150</xdr:row>
      <xdr:rowOff>82550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285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396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396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300</xdr:row>
      <xdr:rowOff>53975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713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267278</xdr:colOff>
      <xdr:row>17</xdr:row>
      <xdr:rowOff>0</xdr:rowOff>
    </xdr:from>
    <xdr:to>
      <xdr:col>9</xdr:col>
      <xdr:colOff>343478</xdr:colOff>
      <xdr:row>300</xdr:row>
      <xdr:rowOff>53975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2866255" y="5469659"/>
          <a:ext cx="76200" cy="5645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252846</xdr:colOff>
      <xdr:row>16</xdr:row>
      <xdr:rowOff>86590</xdr:rowOff>
    </xdr:from>
    <xdr:to>
      <xdr:col>9</xdr:col>
      <xdr:colOff>329046</xdr:colOff>
      <xdr:row>300</xdr:row>
      <xdr:rowOff>10679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12851823" y="5426363"/>
          <a:ext cx="76200" cy="5645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167</xdr:row>
      <xdr:rowOff>15875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285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183</xdr:row>
      <xdr:rowOff>139700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317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200</xdr:row>
      <xdr:rowOff>73025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3493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200</xdr:row>
      <xdr:rowOff>73025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3810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217</xdr:row>
      <xdr:rowOff>6350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3810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217</xdr:row>
      <xdr:rowOff>6350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3810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233</xdr:row>
      <xdr:rowOff>130175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4127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233</xdr:row>
      <xdr:rowOff>130175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4127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250</xdr:row>
      <xdr:rowOff>63500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4445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250</xdr:row>
      <xdr:rowOff>63500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4445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266</xdr:row>
      <xdr:rowOff>187325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4762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266</xdr:row>
      <xdr:rowOff>187325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4762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283</xdr:row>
      <xdr:rowOff>120650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079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283</xdr:row>
      <xdr:rowOff>120650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5079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L45"/>
  <sheetViews>
    <sheetView view="pageBreakPreview" topLeftCell="D22" zoomScaleNormal="100" zoomScaleSheetLayoutView="100" workbookViewId="0">
      <selection activeCell="K23" sqref="K23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4</v>
      </c>
      <c r="G5" s="139"/>
      <c r="H5" s="4">
        <v>2021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8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8"/>
      <c r="G7" s="8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30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30">
        <v>4</v>
      </c>
      <c r="L21" s="30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5958.2089999999989</v>
      </c>
      <c r="G23" s="39">
        <v>5558.2969999999996</v>
      </c>
      <c r="H23" s="39">
        <v>0</v>
      </c>
      <c r="I23" s="39">
        <v>0</v>
      </c>
      <c r="J23" s="39">
        <v>-7.6619999999999999</v>
      </c>
      <c r="K23" s="40">
        <v>407.57400000000001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6925.8149999999996</v>
      </c>
      <c r="G24" s="39">
        <v>6275.884</v>
      </c>
      <c r="H24" s="39">
        <v>0</v>
      </c>
      <c r="I24" s="39">
        <v>0</v>
      </c>
      <c r="J24" s="39">
        <v>245.78899999999999</v>
      </c>
      <c r="K24" s="40">
        <v>404.142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105.045</v>
      </c>
      <c r="G26" s="39">
        <v>87.697000000000003</v>
      </c>
      <c r="H26" s="39">
        <v>0</v>
      </c>
      <c r="I26" s="39">
        <v>0</v>
      </c>
      <c r="J26" s="39">
        <v>9.1300000000000008</v>
      </c>
      <c r="K26" s="40">
        <v>8.218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865.00900000000001</v>
      </c>
      <c r="G27" s="39">
        <v>707.28099999999995</v>
      </c>
      <c r="H27" s="39">
        <v>0</v>
      </c>
      <c r="I27" s="39">
        <v>0</v>
      </c>
      <c r="J27" s="39">
        <v>73.305999999999997</v>
      </c>
      <c r="K27" s="40">
        <v>84.421999999999997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1786.682</v>
      </c>
      <c r="G29" s="39">
        <v>1491.579</v>
      </c>
      <c r="H29" s="39">
        <v>0</v>
      </c>
      <c r="I29" s="39">
        <v>0</v>
      </c>
      <c r="J29" s="39">
        <v>155.30699999999999</v>
      </c>
      <c r="K29" s="40">
        <v>139.79599999999999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14712.737999999999</v>
      </c>
      <c r="G30" s="39">
        <v>12029.76</v>
      </c>
      <c r="H30" s="39">
        <v>0</v>
      </c>
      <c r="I30" s="39">
        <v>0</v>
      </c>
      <c r="J30" s="39">
        <v>1246.9639999999999</v>
      </c>
      <c r="K30" s="40">
        <v>1436.0139999999999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1800.1979999999999</v>
      </c>
      <c r="G32" s="39">
        <v>1476.7619999999999</v>
      </c>
      <c r="H32" s="39">
        <v>0</v>
      </c>
      <c r="I32" s="39">
        <v>0</v>
      </c>
      <c r="J32" s="39">
        <v>177.08699999999999</v>
      </c>
      <c r="K32" s="40">
        <v>146.34899999999999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13758.647999999999</v>
      </c>
      <c r="G33" s="51">
        <v>11297.356</v>
      </c>
      <c r="H33" s="51">
        <v>0</v>
      </c>
      <c r="I33" s="51">
        <v>0</v>
      </c>
      <c r="J33" s="51">
        <v>1015.293</v>
      </c>
      <c r="K33" s="40">
        <v>1445.999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6912.2990000000009</v>
      </c>
      <c r="G34" s="54">
        <f>G23+G30-G33</f>
        <v>6290.7010000000009</v>
      </c>
      <c r="H34" s="54">
        <v>0</v>
      </c>
      <c r="I34" s="54">
        <v>0</v>
      </c>
      <c r="J34" s="54">
        <f>J23+J30-J33</f>
        <v>224.0089999999999</v>
      </c>
      <c r="K34" s="54">
        <f>K23+K30-K33</f>
        <v>397.58899999999994</v>
      </c>
      <c r="L34" s="55">
        <f>L24+L29-L32</f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64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64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69" t="s">
        <v>62</v>
      </c>
      <c r="C40" s="69"/>
      <c r="D40" s="69"/>
      <c r="E40" s="69"/>
      <c r="F40" s="69"/>
      <c r="G40" s="69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64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175" priority="11" stopIfTrue="1" operator="containsText" text="ЗАПОВНІТЬ">
      <formula>NOT(ISERROR(SEARCH("ЗАПОВНІТЬ",J36)))</formula>
    </cfRule>
  </conditionalFormatting>
  <conditionalFormatting sqref="C36">
    <cfRule type="containsText" dxfId="174" priority="10" stopIfTrue="1" operator="containsText" text="ЗАПОВНІТЬ">
      <formula>NOT(ISERROR(SEARCH("ЗАПОВНІТЬ",C36)))</formula>
    </cfRule>
  </conditionalFormatting>
  <conditionalFormatting sqref="F36">
    <cfRule type="containsText" dxfId="173" priority="9" stopIfTrue="1" operator="containsText" text="ЗАПОВНІТЬ">
      <formula>NOT(ISERROR(SEARCH("ЗАПОВНІТЬ",F36)))</formula>
    </cfRule>
  </conditionalFormatting>
  <conditionalFormatting sqref="J5">
    <cfRule type="containsText" dxfId="172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71" priority="6" stopIfTrue="1" operator="notEqual">
      <formula>0</formula>
    </cfRule>
    <cfRule type="cellIs" dxfId="170" priority="7" stopIfTrue="1" operator="equal">
      <formula>0</formula>
    </cfRule>
  </conditionalFormatting>
  <conditionalFormatting sqref="C35">
    <cfRule type="containsText" dxfId="169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168" priority="4" stopIfTrue="1" operator="equal">
      <formula>0</formula>
    </cfRule>
  </conditionalFormatting>
  <conditionalFormatting sqref="K41 K43 K39 K37">
    <cfRule type="containsText" dxfId="167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66" priority="2" stopIfTrue="1" operator="containsText" text="ЗАПОВНІТЬ">
      <formula>NOT(ISERROR(SEARCH("ЗАПОВНІТЬ",B37)))</formula>
    </cfRule>
  </conditionalFormatting>
  <conditionalFormatting sqref="G24:K24">
    <cfRule type="cellIs" dxfId="165" priority="1" stopIfTrue="1" operator="equal">
      <formula>0</formula>
    </cfRule>
  </conditionalFormatting>
  <pageMargins left="0.7" right="0.7" top="0.75" bottom="0.75" header="0.3" footer="0.3"/>
  <pageSetup paperSize="9" scale="47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0"/>
  <dimension ref="A1:L45"/>
  <sheetViews>
    <sheetView topLeftCell="C22" zoomScale="75" zoomScaleNormal="75" workbookViewId="0">
      <selection activeCell="G33" sqref="G33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80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100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00"/>
      <c r="G7" s="100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101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101">
        <v>4</v>
      </c>
      <c r="L21" s="101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11972.673999999999</v>
      </c>
      <c r="G24" s="39">
        <v>9731.31</v>
      </c>
      <c r="H24" s="39">
        <v>0</v>
      </c>
      <c r="I24" s="39">
        <v>0</v>
      </c>
      <c r="J24" s="39">
        <v>605.19799999999998</v>
      </c>
      <c r="K24" s="40">
        <v>1636.1659999999999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96.927999999999997</v>
      </c>
      <c r="G26" s="39">
        <v>82.932000000000002</v>
      </c>
      <c r="H26" s="39">
        <v>0</v>
      </c>
      <c r="I26" s="39">
        <v>0</v>
      </c>
      <c r="J26" s="39">
        <v>9.3979999999999997</v>
      </c>
      <c r="K26" s="40">
        <v>4.5979999999999999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v>527.65</v>
      </c>
      <c r="G27" s="39">
        <v>412.07900000000001</v>
      </c>
      <c r="H27" s="39">
        <v>0</v>
      </c>
      <c r="I27" s="39">
        <v>0</v>
      </c>
      <c r="J27" s="39">
        <v>48.801000000000002</v>
      </c>
      <c r="K27" s="40">
        <v>66.77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2618.6579999999999</v>
      </c>
      <c r="G29" s="39">
        <v>2240.0529999999999</v>
      </c>
      <c r="H29" s="39">
        <v>0</v>
      </c>
      <c r="I29" s="39">
        <v>0</v>
      </c>
      <c r="J29" s="39">
        <v>254.23</v>
      </c>
      <c r="K29" s="40">
        <v>124.375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14269.376</v>
      </c>
      <c r="G30" s="39">
        <v>11143.151</v>
      </c>
      <c r="H30" s="39">
        <v>0</v>
      </c>
      <c r="I30" s="39">
        <v>0</v>
      </c>
      <c r="J30" s="39">
        <v>1320.0920000000001</v>
      </c>
      <c r="K30" s="40">
        <v>1806.133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2254.2829999999999</v>
      </c>
      <c r="G32" s="39">
        <v>1886.7460000000001</v>
      </c>
      <c r="H32" s="39">
        <v>0</v>
      </c>
      <c r="I32" s="39">
        <v>0</v>
      </c>
      <c r="J32" s="39">
        <v>192.87899999999999</v>
      </c>
      <c r="K32" s="40">
        <v>174.65799999999999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10205.42</v>
      </c>
      <c r="G33" s="51">
        <v>8581.2219999999998</v>
      </c>
      <c r="H33" s="51">
        <v>0</v>
      </c>
      <c r="I33" s="51">
        <v>0</v>
      </c>
      <c r="J33" s="51">
        <v>677.05100000000004</v>
      </c>
      <c r="K33" s="40">
        <v>947.14700000000005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G34+J34+K34</f>
        <v>12337.048999999997</v>
      </c>
      <c r="G34" s="54">
        <f>G24+G29-G32</f>
        <v>10084.616999999998</v>
      </c>
      <c r="H34" s="54">
        <v>0</v>
      </c>
      <c r="I34" s="54">
        <v>0</v>
      </c>
      <c r="J34" s="54">
        <f>J24+J29-J32</f>
        <v>666.54899999999998</v>
      </c>
      <c r="K34" s="54">
        <f>K24+K29-K32</f>
        <v>1585.883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103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103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102" t="s">
        <v>62</v>
      </c>
      <c r="C40" s="102"/>
      <c r="D40" s="102"/>
      <c r="E40" s="102"/>
      <c r="F40" s="102"/>
      <c r="G40" s="102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103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36">
    <cfRule type="containsText" dxfId="87" priority="11" stopIfTrue="1" operator="containsText" text="ЗАПОВНІТЬ">
      <formula>NOT(ISERROR(SEARCH("ЗАПОВНІТЬ",J36)))</formula>
    </cfRule>
  </conditionalFormatting>
  <conditionalFormatting sqref="C36">
    <cfRule type="containsText" dxfId="86" priority="10" stopIfTrue="1" operator="containsText" text="ЗАПОВНІТЬ">
      <formula>NOT(ISERROR(SEARCH("ЗАПОВНІТЬ",C36)))</formula>
    </cfRule>
  </conditionalFormatting>
  <conditionalFormatting sqref="F36">
    <cfRule type="containsText" dxfId="85" priority="9" stopIfTrue="1" operator="containsText" text="ЗАПОВНІТЬ">
      <formula>NOT(ISERROR(SEARCH("ЗАПОВНІТЬ",F36)))</formula>
    </cfRule>
  </conditionalFormatting>
  <conditionalFormatting sqref="J5">
    <cfRule type="containsText" dxfId="84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83" priority="6" stopIfTrue="1" operator="notEqual">
      <formula>0</formula>
    </cfRule>
    <cfRule type="cellIs" dxfId="82" priority="7" stopIfTrue="1" operator="equal">
      <formula>0</formula>
    </cfRule>
  </conditionalFormatting>
  <conditionalFormatting sqref="C35">
    <cfRule type="containsText" dxfId="81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80" priority="4" stopIfTrue="1" operator="equal">
      <formula>0</formula>
    </cfRule>
  </conditionalFormatting>
  <conditionalFormatting sqref="K41 K43 K39 K37">
    <cfRule type="containsText" dxfId="79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78" priority="2" stopIfTrue="1" operator="containsText" text="ЗАПОВНІТЬ">
      <formula>NOT(ISERROR(SEARCH("ЗАПОВНІТЬ",B37)))</formula>
    </cfRule>
  </conditionalFormatting>
  <conditionalFormatting sqref="G24:K24">
    <cfRule type="cellIs" dxfId="77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1"/>
  <dimension ref="A1:L45"/>
  <sheetViews>
    <sheetView topLeftCell="A22" zoomScale="75" zoomScaleNormal="75" workbookViewId="0">
      <selection activeCell="K27" sqref="K27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81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107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07"/>
      <c r="G7" s="107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106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106">
        <v>4</v>
      </c>
      <c r="L21" s="106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12337.049000000001</v>
      </c>
      <c r="G24" s="39">
        <v>10084.617</v>
      </c>
      <c r="H24" s="39">
        <v>0</v>
      </c>
      <c r="I24" s="39">
        <v>0</v>
      </c>
      <c r="J24" s="39">
        <v>666.54899999999998</v>
      </c>
      <c r="K24" s="40">
        <v>1585.883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103.267</v>
      </c>
      <c r="G26" s="39">
        <v>88.563000000000002</v>
      </c>
      <c r="H26" s="39">
        <v>0</v>
      </c>
      <c r="I26" s="39">
        <v>0</v>
      </c>
      <c r="J26" s="39">
        <v>10.003</v>
      </c>
      <c r="K26" s="40">
        <v>4.7009999999999996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630.91700000000003</v>
      </c>
      <c r="G27" s="39">
        <v>500.642</v>
      </c>
      <c r="H27" s="39">
        <v>0</v>
      </c>
      <c r="I27" s="39">
        <v>0</v>
      </c>
      <c r="J27" s="39">
        <v>58.804000000000002</v>
      </c>
      <c r="K27" s="40">
        <v>71.471000000000004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2792.3779999999997</v>
      </c>
      <c r="G29" s="39">
        <v>2394.623</v>
      </c>
      <c r="H29" s="39">
        <v>0</v>
      </c>
      <c r="I29" s="39">
        <v>0</v>
      </c>
      <c r="J29" s="39">
        <v>270.59500000000003</v>
      </c>
      <c r="K29" s="40">
        <v>127.16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17061.754000000001</v>
      </c>
      <c r="G30" s="39">
        <v>13537.773999999999</v>
      </c>
      <c r="H30" s="39">
        <v>0</v>
      </c>
      <c r="I30" s="39">
        <v>0</v>
      </c>
      <c r="J30" s="39">
        <v>1590.6869999999999</v>
      </c>
      <c r="K30" s="40">
        <v>1933.2929999999999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3672.181</v>
      </c>
      <c r="G32" s="39">
        <v>3021.7829999999999</v>
      </c>
      <c r="H32" s="39">
        <v>0</v>
      </c>
      <c r="I32" s="39">
        <v>0</v>
      </c>
      <c r="J32" s="39">
        <v>452.41800000000001</v>
      </c>
      <c r="K32" s="40">
        <v>197.98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13877.600999999999</v>
      </c>
      <c r="G33" s="51">
        <v>11603.004999999999</v>
      </c>
      <c r="H33" s="51">
        <v>0</v>
      </c>
      <c r="I33" s="51">
        <v>0</v>
      </c>
      <c r="J33" s="51">
        <v>1129.4690000000001</v>
      </c>
      <c r="K33" s="40">
        <v>1145.127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11457.246000000003</v>
      </c>
      <c r="G34" s="54">
        <f>G23+G30-G33</f>
        <v>9457.4570000000003</v>
      </c>
      <c r="H34" s="54">
        <v>0</v>
      </c>
      <c r="I34" s="54">
        <v>0</v>
      </c>
      <c r="J34" s="54">
        <f>J23+J30-J33</f>
        <v>484.72599999999989</v>
      </c>
      <c r="K34" s="54">
        <f>K23+K30-K33</f>
        <v>1515.0630000000001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/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105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105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104" t="s">
        <v>62</v>
      </c>
      <c r="C40" s="104"/>
      <c r="D40" s="104"/>
      <c r="E40" s="104"/>
      <c r="F40" s="104"/>
      <c r="G40" s="104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105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76" priority="11" stopIfTrue="1" operator="containsText" text="ЗАПОВНІТЬ">
      <formula>NOT(ISERROR(SEARCH("ЗАПОВНІТЬ",J36)))</formula>
    </cfRule>
  </conditionalFormatting>
  <conditionalFormatting sqref="C36">
    <cfRule type="containsText" dxfId="75" priority="10" stopIfTrue="1" operator="containsText" text="ЗАПОВНІТЬ">
      <formula>NOT(ISERROR(SEARCH("ЗАПОВНІТЬ",C36)))</formula>
    </cfRule>
  </conditionalFormatting>
  <conditionalFormatting sqref="F36">
    <cfRule type="containsText" dxfId="74" priority="9" stopIfTrue="1" operator="containsText" text="ЗАПОВНІТЬ">
      <formula>NOT(ISERROR(SEARCH("ЗАПОВНІТЬ",F36)))</formula>
    </cfRule>
  </conditionalFormatting>
  <conditionalFormatting sqref="J5">
    <cfRule type="containsText" dxfId="73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72" priority="6" stopIfTrue="1" operator="notEqual">
      <formula>0</formula>
    </cfRule>
    <cfRule type="cellIs" dxfId="71" priority="7" stopIfTrue="1" operator="equal">
      <formula>0</formula>
    </cfRule>
  </conditionalFormatting>
  <conditionalFormatting sqref="C35">
    <cfRule type="containsText" dxfId="70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69" priority="4" stopIfTrue="1" operator="equal">
      <formula>0</formula>
    </cfRule>
  </conditionalFormatting>
  <conditionalFormatting sqref="K41 K43 K39 K37">
    <cfRule type="containsText" dxfId="68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67" priority="2" stopIfTrue="1" operator="containsText" text="ЗАПОВНІТЬ">
      <formula>NOT(ISERROR(SEARCH("ЗАПОВНІТЬ",B37)))</formula>
    </cfRule>
  </conditionalFormatting>
  <conditionalFormatting sqref="G24:K24">
    <cfRule type="cellIs" dxfId="66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2"/>
  <dimension ref="A1:L45"/>
  <sheetViews>
    <sheetView topLeftCell="A22" zoomScale="75" zoomScaleNormal="75" workbookViewId="0">
      <selection activeCell="J30" sqref="J30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82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108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08"/>
      <c r="G7" s="108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109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109">
        <v>4</v>
      </c>
      <c r="L21" s="109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11457.246000000001</v>
      </c>
      <c r="G24" s="39">
        <v>9457.4570000000003</v>
      </c>
      <c r="H24" s="39">
        <v>0</v>
      </c>
      <c r="I24" s="39">
        <v>0</v>
      </c>
      <c r="J24" s="39">
        <v>484.72599999999989</v>
      </c>
      <c r="K24" s="40">
        <v>1515.0630000000001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105.923</v>
      </c>
      <c r="G26" s="39">
        <v>90.626999999999995</v>
      </c>
      <c r="H26" s="39">
        <v>0</v>
      </c>
      <c r="I26" s="39">
        <v>0</v>
      </c>
      <c r="J26" s="39">
        <v>10.058</v>
      </c>
      <c r="K26" s="40">
        <v>5.2380000000000004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736.83999999999992</v>
      </c>
      <c r="G27" s="39">
        <f>500.642+G26</f>
        <v>591.26900000000001</v>
      </c>
      <c r="H27" s="39">
        <v>0</v>
      </c>
      <c r="I27" s="39">
        <v>0</v>
      </c>
      <c r="J27" s="39">
        <f>58.804+J26</f>
        <v>68.861999999999995</v>
      </c>
      <c r="K27" s="40">
        <f>71.471+K26</f>
        <v>76.709000000000003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2863.9999999999995</v>
      </c>
      <c r="G29" s="39">
        <v>2450.1999999999998</v>
      </c>
      <c r="H29" s="39">
        <v>0</v>
      </c>
      <c r="I29" s="39">
        <v>0</v>
      </c>
      <c r="J29" s="39">
        <v>272.10000000000002</v>
      </c>
      <c r="K29" s="40">
        <v>141.69999999999999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19925.753999999997</v>
      </c>
      <c r="G30" s="39">
        <f>13537.774+G29</f>
        <v>15987.973999999998</v>
      </c>
      <c r="H30" s="39">
        <v>0</v>
      </c>
      <c r="I30" s="39">
        <v>0</v>
      </c>
      <c r="J30" s="39">
        <f>1590.687+J29</f>
        <v>1862.7869999999998</v>
      </c>
      <c r="K30" s="40">
        <f>1933.293+K29</f>
        <v>2074.9929999999999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3465</v>
      </c>
      <c r="G32" s="39">
        <v>2025.9</v>
      </c>
      <c r="H32" s="39">
        <v>0</v>
      </c>
      <c r="I32" s="39">
        <v>0</v>
      </c>
      <c r="J32" s="39">
        <v>282.5</v>
      </c>
      <c r="K32" s="40">
        <v>1156.5999999999999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17342.600999999999</v>
      </c>
      <c r="G33" s="51">
        <f>11603.005+G32</f>
        <v>13628.904999999999</v>
      </c>
      <c r="H33" s="51">
        <v>0</v>
      </c>
      <c r="I33" s="51">
        <v>0</v>
      </c>
      <c r="J33" s="51">
        <f>1129.469+J32</f>
        <v>1411.9690000000001</v>
      </c>
      <c r="K33" s="40">
        <f>1145.127+K32</f>
        <v>2301.7269999999999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10856.245999999999</v>
      </c>
      <c r="G34" s="54">
        <f>G23+G30-G33</f>
        <v>9881.7569999999978</v>
      </c>
      <c r="H34" s="54">
        <v>0</v>
      </c>
      <c r="I34" s="54">
        <v>0</v>
      </c>
      <c r="J34" s="54">
        <f>J23+J30-J33</f>
        <v>474.32599999999979</v>
      </c>
      <c r="K34" s="54">
        <f>K23+K30-K33</f>
        <v>500.16300000000001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/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111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111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110" t="s">
        <v>62</v>
      </c>
      <c r="C40" s="110"/>
      <c r="D40" s="110"/>
      <c r="E40" s="110"/>
      <c r="F40" s="110"/>
      <c r="G40" s="110"/>
      <c r="H40" s="68"/>
      <c r="I40" s="191"/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111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36">
    <cfRule type="containsText" dxfId="65" priority="11" stopIfTrue="1" operator="containsText" text="ЗАПОВНІТЬ">
      <formula>NOT(ISERROR(SEARCH("ЗАПОВНІТЬ",J36)))</formula>
    </cfRule>
  </conditionalFormatting>
  <conditionalFormatting sqref="C36">
    <cfRule type="containsText" dxfId="64" priority="10" stopIfTrue="1" operator="containsText" text="ЗАПОВНІТЬ">
      <formula>NOT(ISERROR(SEARCH("ЗАПОВНІТЬ",C36)))</formula>
    </cfRule>
  </conditionalFormatting>
  <conditionalFormatting sqref="F36">
    <cfRule type="containsText" dxfId="63" priority="9" stopIfTrue="1" operator="containsText" text="ЗАПОВНІТЬ">
      <formula>NOT(ISERROR(SEARCH("ЗАПОВНІТЬ",F36)))</formula>
    </cfRule>
  </conditionalFormatting>
  <conditionalFormatting sqref="J5">
    <cfRule type="containsText" dxfId="62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61" priority="6" stopIfTrue="1" operator="notEqual">
      <formula>0</formula>
    </cfRule>
    <cfRule type="cellIs" dxfId="60" priority="7" stopIfTrue="1" operator="equal">
      <formula>0</formula>
    </cfRule>
  </conditionalFormatting>
  <conditionalFormatting sqref="C35">
    <cfRule type="containsText" dxfId="59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58" priority="4" stopIfTrue="1" operator="equal">
      <formula>0</formula>
    </cfRule>
  </conditionalFormatting>
  <conditionalFormatting sqref="K41 K43 K39 K37">
    <cfRule type="containsText" dxfId="57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56" priority="2" stopIfTrue="1" operator="containsText" text="ЗАПОВНІТЬ">
      <formula>NOT(ISERROR(SEARCH("ЗАПОВНІТЬ",B37)))</formula>
    </cfRule>
  </conditionalFormatting>
  <conditionalFormatting sqref="G24:K24">
    <cfRule type="cellIs" dxfId="55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3"/>
  <dimension ref="A1:L45"/>
  <sheetViews>
    <sheetView view="pageBreakPreview" topLeftCell="A25" zoomScale="75" zoomScaleNormal="75" zoomScaleSheetLayoutView="75" workbookViewId="0">
      <selection activeCell="J26" sqref="J26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4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112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12"/>
      <c r="G7" s="112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113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113">
        <v>4</v>
      </c>
      <c r="L21" s="113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10856.245999999997</v>
      </c>
      <c r="G24" s="39">
        <v>9881.7569999999978</v>
      </c>
      <c r="H24" s="39">
        <v>0</v>
      </c>
      <c r="I24" s="39">
        <v>0</v>
      </c>
      <c r="J24" s="39">
        <v>474.32599999999979</v>
      </c>
      <c r="K24" s="40">
        <v>500.16300000000001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106.107</v>
      </c>
      <c r="G26" s="39">
        <v>90.319000000000003</v>
      </c>
      <c r="H26" s="39">
        <v>0</v>
      </c>
      <c r="I26" s="39">
        <v>0</v>
      </c>
      <c r="J26" s="39">
        <v>9.7409999999999997</v>
      </c>
      <c r="K26" s="40">
        <v>6.0469999999999997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842.947</v>
      </c>
      <c r="G27" s="39">
        <f>500.642+G26+90.627</f>
        <v>681.58799999999997</v>
      </c>
      <c r="H27" s="39">
        <v>0</v>
      </c>
      <c r="I27" s="39">
        <v>0</v>
      </c>
      <c r="J27" s="39">
        <f>58.804+J26+10.058</f>
        <v>78.603000000000009</v>
      </c>
      <c r="K27" s="40">
        <f>71.471+K26+5.238</f>
        <v>82.756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2870.27</v>
      </c>
      <c r="G29" s="39">
        <v>2443.17</v>
      </c>
      <c r="H29" s="39">
        <v>0</v>
      </c>
      <c r="I29" s="39">
        <v>0</v>
      </c>
      <c r="J29" s="39">
        <v>263.5</v>
      </c>
      <c r="K29" s="40">
        <v>163.6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22796.024000000001</v>
      </c>
      <c r="G30" s="39">
        <f>13537.774+G29+2450.2</f>
        <v>18431.144</v>
      </c>
      <c r="H30" s="39">
        <v>0</v>
      </c>
      <c r="I30" s="39">
        <v>0</v>
      </c>
      <c r="J30" s="39">
        <f>1590.687+J29+272.1</f>
        <v>2126.2869999999998</v>
      </c>
      <c r="K30" s="40">
        <f>1933.293+K29+141.7</f>
        <v>2238.5929999999998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2548.6</v>
      </c>
      <c r="G32" s="39">
        <v>2165.3000000000002</v>
      </c>
      <c r="H32" s="39">
        <v>0</v>
      </c>
      <c r="I32" s="39">
        <v>0</v>
      </c>
      <c r="J32" s="39">
        <v>265.7</v>
      </c>
      <c r="K32" s="40">
        <v>117.6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19891.201000000001</v>
      </c>
      <c r="G33" s="51">
        <f>11603.005+G32+2025.9</f>
        <v>15794.205</v>
      </c>
      <c r="H33" s="51">
        <v>0</v>
      </c>
      <c r="I33" s="51">
        <v>0</v>
      </c>
      <c r="J33" s="51">
        <f>1129.469+J32+282.5</f>
        <v>1677.6690000000001</v>
      </c>
      <c r="K33" s="40">
        <f>1145.127+K32+1156.6</f>
        <v>2419.3269999999998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11177.916000000001</v>
      </c>
      <c r="G34" s="54">
        <f>G23+G30-G33</f>
        <v>10159.627000000002</v>
      </c>
      <c r="H34" s="54">
        <v>0</v>
      </c>
      <c r="I34" s="54">
        <v>0</v>
      </c>
      <c r="J34" s="54">
        <f>J23+J30-J33</f>
        <v>472.12599999999952</v>
      </c>
      <c r="K34" s="54">
        <f>K23+K30-K33</f>
        <v>546.16300000000001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/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115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115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114" t="s">
        <v>62</v>
      </c>
      <c r="C40" s="114"/>
      <c r="D40" s="114"/>
      <c r="E40" s="114"/>
      <c r="F40" s="114"/>
      <c r="G40" s="114"/>
      <c r="H40" s="68"/>
      <c r="I40" s="191"/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115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36">
    <cfRule type="containsText" dxfId="54" priority="11" stopIfTrue="1" operator="containsText" text="ЗАПОВНІТЬ">
      <formula>NOT(ISERROR(SEARCH("ЗАПОВНІТЬ",J36)))</formula>
    </cfRule>
  </conditionalFormatting>
  <conditionalFormatting sqref="C36">
    <cfRule type="containsText" dxfId="53" priority="10" stopIfTrue="1" operator="containsText" text="ЗАПОВНІТЬ">
      <formula>NOT(ISERROR(SEARCH("ЗАПОВНІТЬ",C36)))</formula>
    </cfRule>
  </conditionalFormatting>
  <conditionalFormatting sqref="F36">
    <cfRule type="containsText" dxfId="52" priority="9" stopIfTrue="1" operator="containsText" text="ЗАПОВНІТЬ">
      <formula>NOT(ISERROR(SEARCH("ЗАПОВНІТЬ",F36)))</formula>
    </cfRule>
  </conditionalFormatting>
  <conditionalFormatting sqref="J5">
    <cfRule type="containsText" dxfId="51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50" priority="6" stopIfTrue="1" operator="notEqual">
      <formula>0</formula>
    </cfRule>
    <cfRule type="cellIs" dxfId="49" priority="7" stopIfTrue="1" operator="equal">
      <formula>0</formula>
    </cfRule>
  </conditionalFormatting>
  <conditionalFormatting sqref="C35">
    <cfRule type="containsText" dxfId="48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47" priority="4" stopIfTrue="1" operator="equal">
      <formula>0</formula>
    </cfRule>
  </conditionalFormatting>
  <conditionalFormatting sqref="K41 K43 K39 K37">
    <cfRule type="containsText" dxfId="46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45" priority="2" stopIfTrue="1" operator="containsText" text="ЗАПОВНІТЬ">
      <formula>NOT(ISERROR(SEARCH("ЗАПОВНІТЬ",B37)))</formula>
    </cfRule>
  </conditionalFormatting>
  <conditionalFormatting sqref="G24:K24">
    <cfRule type="cellIs" dxfId="44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4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4"/>
  <dimension ref="A1:L45"/>
  <sheetViews>
    <sheetView view="pageBreakPreview" topLeftCell="A25" zoomScale="66" zoomScaleNormal="75" zoomScaleSheetLayoutView="66" workbookViewId="0">
      <selection activeCell="F27" sqref="F27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73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119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19"/>
      <c r="G7" s="119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118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118">
        <v>4</v>
      </c>
      <c r="L21" s="118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11177.916000000001</v>
      </c>
      <c r="G24" s="39">
        <v>10159.627</v>
      </c>
      <c r="H24" s="39">
        <v>0</v>
      </c>
      <c r="I24" s="39">
        <v>0</v>
      </c>
      <c r="J24" s="39">
        <v>472.12599999999998</v>
      </c>
      <c r="K24" s="40">
        <v>546.16300000000001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111.48199999999999</v>
      </c>
      <c r="G26" s="39">
        <f>87.803+5.585</f>
        <v>93.387999999999991</v>
      </c>
      <c r="H26" s="39">
        <v>0</v>
      </c>
      <c r="I26" s="39">
        <v>0</v>
      </c>
      <c r="J26" s="39">
        <v>10.993</v>
      </c>
      <c r="K26" s="40">
        <f>12.806-5.705</f>
        <v>7.1009999999999991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954.42899999999997</v>
      </c>
      <c r="G27" s="39">
        <f>681.588+G26</f>
        <v>774.976</v>
      </c>
      <c r="H27" s="39">
        <v>0</v>
      </c>
      <c r="I27" s="39">
        <v>0</v>
      </c>
      <c r="J27" s="39">
        <f>58.804+J26+10.058+9.741</f>
        <v>89.595999999999989</v>
      </c>
      <c r="K27" s="40">
        <f>82.756+K26</f>
        <v>89.856999999999999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3010.0879999999997</v>
      </c>
      <c r="G29" s="39">
        <v>2533.1729999999998</v>
      </c>
      <c r="H29" s="39">
        <v>0</v>
      </c>
      <c r="I29" s="39">
        <v>0</v>
      </c>
      <c r="J29" s="39">
        <v>287.98200000000003</v>
      </c>
      <c r="K29" s="40">
        <v>188.93299999999999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25806.112000000001</v>
      </c>
      <c r="G30" s="39">
        <f>18431.144+G29</f>
        <v>20964.316999999999</v>
      </c>
      <c r="H30" s="39">
        <v>0</v>
      </c>
      <c r="I30" s="39">
        <v>0</v>
      </c>
      <c r="J30" s="39">
        <f>2126.287+J29</f>
        <v>2414.2689999999998</v>
      </c>
      <c r="K30" s="40">
        <f>2238.593+K29</f>
        <v>2427.5259999999998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2880.748</v>
      </c>
      <c r="G32" s="39">
        <f>2209.272</f>
        <v>2209.2719999999999</v>
      </c>
      <c r="H32" s="39">
        <v>0</v>
      </c>
      <c r="I32" s="39">
        <v>0</v>
      </c>
      <c r="J32" s="39">
        <v>183.482</v>
      </c>
      <c r="K32" s="40">
        <v>487.99400000000003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22771.949000000001</v>
      </c>
      <c r="G33" s="51">
        <f>15794.205+G32</f>
        <v>18003.476999999999</v>
      </c>
      <c r="H33" s="51">
        <v>0</v>
      </c>
      <c r="I33" s="51">
        <v>0</v>
      </c>
      <c r="J33" s="51">
        <f>1677.669+J32</f>
        <v>1861.1510000000001</v>
      </c>
      <c r="K33" s="40">
        <f>2419.327+K32</f>
        <v>2907.3210000000004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11307.256000000001</v>
      </c>
      <c r="G34" s="54">
        <f>G23+G30-G33</f>
        <v>10483.527999999998</v>
      </c>
      <c r="H34" s="54">
        <v>0</v>
      </c>
      <c r="I34" s="54">
        <v>0</v>
      </c>
      <c r="J34" s="54">
        <f>J23+J30-J33</f>
        <v>576.62599999999952</v>
      </c>
      <c r="K34" s="54">
        <f>K23+K30-K33</f>
        <v>247.10199999999941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/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84</v>
      </c>
      <c r="J36" s="188"/>
      <c r="K36" s="188"/>
      <c r="L36" s="62"/>
    </row>
    <row r="37" spans="1:12" ht="15" customHeight="1">
      <c r="B37" s="63" t="s">
        <v>6</v>
      </c>
      <c r="C37" s="117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117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116" t="s">
        <v>62</v>
      </c>
      <c r="C40" s="116"/>
      <c r="D40" s="116"/>
      <c r="E40" s="116"/>
      <c r="F40" s="116"/>
      <c r="G40" s="116"/>
      <c r="H40" s="68"/>
      <c r="I40" s="191" t="s">
        <v>83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117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43" priority="11" stopIfTrue="1" operator="containsText" text="ЗАПОВНІТЬ">
      <formula>NOT(ISERROR(SEARCH("ЗАПОВНІТЬ",J36)))</formula>
    </cfRule>
  </conditionalFormatting>
  <conditionalFormatting sqref="C36">
    <cfRule type="containsText" dxfId="42" priority="10" stopIfTrue="1" operator="containsText" text="ЗАПОВНІТЬ">
      <formula>NOT(ISERROR(SEARCH("ЗАПОВНІТЬ",C36)))</formula>
    </cfRule>
  </conditionalFormatting>
  <conditionalFormatting sqref="F36">
    <cfRule type="containsText" dxfId="41" priority="9" stopIfTrue="1" operator="containsText" text="ЗАПОВНІТЬ">
      <formula>NOT(ISERROR(SEARCH("ЗАПОВНІТЬ",F36)))</formula>
    </cfRule>
  </conditionalFormatting>
  <conditionalFormatting sqref="J5">
    <cfRule type="containsText" dxfId="40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39" priority="6" stopIfTrue="1" operator="notEqual">
      <formula>0</formula>
    </cfRule>
    <cfRule type="cellIs" dxfId="38" priority="7" stopIfTrue="1" operator="equal">
      <formula>0</formula>
    </cfRule>
  </conditionalFormatting>
  <conditionalFormatting sqref="C35">
    <cfRule type="containsText" dxfId="37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36" priority="4" stopIfTrue="1" operator="equal">
      <formula>0</formula>
    </cfRule>
  </conditionalFormatting>
  <conditionalFormatting sqref="K41 K43 K39 K37">
    <cfRule type="containsText" dxfId="35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34" priority="2" stopIfTrue="1" operator="containsText" text="ЗАПОВНІТЬ">
      <formula>NOT(ISERROR(SEARCH("ЗАПОВНІТЬ",B37)))</formula>
    </cfRule>
  </conditionalFormatting>
  <conditionalFormatting sqref="G24:K24">
    <cfRule type="cellIs" dxfId="33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4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5"/>
  <dimension ref="A1:L45"/>
  <sheetViews>
    <sheetView view="pageBreakPreview" topLeftCell="A28" zoomScale="66" zoomScaleNormal="75" zoomScaleSheetLayoutView="66" workbookViewId="0">
      <selection activeCell="G27" sqref="G27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74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123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23"/>
      <c r="G7" s="123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122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122">
        <v>4</v>
      </c>
      <c r="L21" s="122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11307.256000000001</v>
      </c>
      <c r="G24" s="39">
        <v>10483.528</v>
      </c>
      <c r="H24" s="39">
        <v>0</v>
      </c>
      <c r="I24" s="39">
        <v>0</v>
      </c>
      <c r="J24" s="39">
        <v>576.62599999999998</v>
      </c>
      <c r="K24" s="40">
        <v>247.102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108.282</v>
      </c>
      <c r="G26" s="39">
        <v>89.251000000000005</v>
      </c>
      <c r="H26" s="39">
        <v>0</v>
      </c>
      <c r="I26" s="39">
        <v>0</v>
      </c>
      <c r="J26" s="39">
        <v>12.898</v>
      </c>
      <c r="K26" s="40">
        <v>6.133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1062.711</v>
      </c>
      <c r="G27" s="39">
        <f>774.976+G26</f>
        <v>864.22699999999998</v>
      </c>
      <c r="H27" s="39">
        <v>0</v>
      </c>
      <c r="I27" s="39">
        <v>0</v>
      </c>
      <c r="J27" s="39">
        <f>89.596+J26</f>
        <v>102.494</v>
      </c>
      <c r="K27" s="40">
        <f>89.857+K26</f>
        <v>95.99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2929.0070000000001</v>
      </c>
      <c r="G29" s="39">
        <f>2404.911+9.3</f>
        <v>2414.2110000000002</v>
      </c>
      <c r="H29" s="39">
        <v>0</v>
      </c>
      <c r="I29" s="39">
        <v>0</v>
      </c>
      <c r="J29" s="39">
        <v>348.90800000000002</v>
      </c>
      <c r="K29" s="40">
        <f>165.888</f>
        <v>165.88800000000001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28735.118999999999</v>
      </c>
      <c r="G30" s="39">
        <f>20964.317+G29</f>
        <v>23378.527999999998</v>
      </c>
      <c r="H30" s="39">
        <v>0</v>
      </c>
      <c r="I30" s="39">
        <v>0</v>
      </c>
      <c r="J30" s="39">
        <f>2414.269+J29</f>
        <v>2763.1769999999997</v>
      </c>
      <c r="K30" s="40">
        <f>2427.526+K29</f>
        <v>2593.4139999999998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2720.6750000000002</v>
      </c>
      <c r="G32" s="39">
        <f>2244.539-0.573-0.783</f>
        <v>2243.1830000000004</v>
      </c>
      <c r="H32" s="39">
        <v>0</v>
      </c>
      <c r="I32" s="39">
        <v>0</v>
      </c>
      <c r="J32" s="39">
        <v>199.81399999999999</v>
      </c>
      <c r="K32" s="40">
        <f>276.895+0.783</f>
        <v>277.678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25492.624</v>
      </c>
      <c r="G33" s="51">
        <f>18003.477+G32</f>
        <v>20246.66</v>
      </c>
      <c r="H33" s="51">
        <v>0</v>
      </c>
      <c r="I33" s="51">
        <v>0</v>
      </c>
      <c r="J33" s="51">
        <f>1861.151+J32</f>
        <v>2060.9650000000001</v>
      </c>
      <c r="K33" s="40">
        <f>2907.321+K32</f>
        <v>3184.9989999999998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11515.588</v>
      </c>
      <c r="G34" s="54">
        <f>G23+G30-G33</f>
        <v>10654.556</v>
      </c>
      <c r="H34" s="54">
        <v>0</v>
      </c>
      <c r="I34" s="54">
        <v>0</v>
      </c>
      <c r="J34" s="54">
        <f>J23+J30-J33</f>
        <v>725.71999999999935</v>
      </c>
      <c r="K34" s="54">
        <f>K23+K30-K33</f>
        <v>135.3119999999999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/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84</v>
      </c>
      <c r="J36" s="188"/>
      <c r="K36" s="188"/>
      <c r="L36" s="62"/>
    </row>
    <row r="37" spans="1:12" ht="15" customHeight="1">
      <c r="B37" s="63" t="s">
        <v>6</v>
      </c>
      <c r="C37" s="121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121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120" t="s">
        <v>62</v>
      </c>
      <c r="C40" s="120"/>
      <c r="D40" s="120"/>
      <c r="E40" s="120"/>
      <c r="F40" s="120"/>
      <c r="G40" s="120"/>
      <c r="H40" s="68"/>
      <c r="I40" s="191" t="s">
        <v>83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121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32" priority="11" stopIfTrue="1" operator="containsText" text="ЗАПОВНІТЬ">
      <formula>NOT(ISERROR(SEARCH("ЗАПОВНІТЬ",J36)))</formula>
    </cfRule>
  </conditionalFormatting>
  <conditionalFormatting sqref="C36">
    <cfRule type="containsText" dxfId="31" priority="10" stopIfTrue="1" operator="containsText" text="ЗАПОВНІТЬ">
      <formula>NOT(ISERROR(SEARCH("ЗАПОВНІТЬ",C36)))</formula>
    </cfRule>
  </conditionalFormatting>
  <conditionalFormatting sqref="F36">
    <cfRule type="containsText" dxfId="30" priority="9" stopIfTrue="1" operator="containsText" text="ЗАПОВНІТЬ">
      <formula>NOT(ISERROR(SEARCH("ЗАПОВНІТЬ",F36)))</formula>
    </cfRule>
  </conditionalFormatting>
  <conditionalFormatting sqref="J5">
    <cfRule type="containsText" dxfId="29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28" priority="6" stopIfTrue="1" operator="notEqual">
      <formula>0</formula>
    </cfRule>
    <cfRule type="cellIs" dxfId="27" priority="7" stopIfTrue="1" operator="equal">
      <formula>0</formula>
    </cfRule>
  </conditionalFormatting>
  <conditionalFormatting sqref="C35">
    <cfRule type="containsText" dxfId="26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25" priority="4" stopIfTrue="1" operator="equal">
      <formula>0</formula>
    </cfRule>
  </conditionalFormatting>
  <conditionalFormatting sqref="K41 K43 K39 K37">
    <cfRule type="containsText" dxfId="24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23" priority="2" stopIfTrue="1" operator="containsText" text="ЗАПОВНІТЬ">
      <formula>NOT(ISERROR(SEARCH("ЗАПОВНІТЬ",B37)))</formula>
    </cfRule>
  </conditionalFormatting>
  <conditionalFormatting sqref="G24:K24">
    <cfRule type="cellIs" dxfId="22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4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view="pageBreakPreview" topLeftCell="A25" zoomScale="66" zoomScaleNormal="75" zoomScaleSheetLayoutView="66" workbookViewId="0">
      <selection activeCell="G27" sqref="G27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75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124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24"/>
      <c r="G7" s="124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125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125">
        <v>4</v>
      </c>
      <c r="L21" s="125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11515.588</v>
      </c>
      <c r="G24" s="39">
        <v>10654.556</v>
      </c>
      <c r="H24" s="39">
        <v>0</v>
      </c>
      <c r="I24" s="39">
        <v>0</v>
      </c>
      <c r="J24" s="39">
        <v>725.72</v>
      </c>
      <c r="K24" s="40">
        <v>135.31200000000001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87.814999999999998</v>
      </c>
      <c r="G26" s="39">
        <v>67.108000000000004</v>
      </c>
      <c r="H26" s="39">
        <v>0</v>
      </c>
      <c r="I26" s="39">
        <v>0</v>
      </c>
      <c r="J26" s="39">
        <v>10.632999999999999</v>
      </c>
      <c r="K26" s="40">
        <v>10.074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1150.5260000000001</v>
      </c>
      <c r="G27" s="39">
        <f>864.227+G26</f>
        <v>931.33500000000004</v>
      </c>
      <c r="H27" s="39">
        <v>0</v>
      </c>
      <c r="I27" s="39">
        <v>0</v>
      </c>
      <c r="J27" s="39">
        <f>102.494+J26</f>
        <v>113.127</v>
      </c>
      <c r="K27" s="40">
        <f>95.99+K26</f>
        <v>106.06399999999999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2375.404</v>
      </c>
      <c r="G29" s="39">
        <v>1822.2170000000001</v>
      </c>
      <c r="H29" s="39">
        <v>0</v>
      </c>
      <c r="I29" s="39">
        <v>0</v>
      </c>
      <c r="J29" s="39">
        <v>287.63099999999997</v>
      </c>
      <c r="K29" s="40">
        <v>265.55599999999998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31110.523000000001</v>
      </c>
      <c r="G30" s="39">
        <f>23378.528+G29</f>
        <v>25200.744999999999</v>
      </c>
      <c r="H30" s="39">
        <v>0</v>
      </c>
      <c r="I30" s="39">
        <v>0</v>
      </c>
      <c r="J30" s="39">
        <f>2763.177+J29</f>
        <v>3050.808</v>
      </c>
      <c r="K30" s="40">
        <f>2593.414+K29</f>
        <v>2858.9700000000003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2522.8579999999997</v>
      </c>
      <c r="G32" s="39">
        <f>1980.442+78.772</f>
        <v>2059.2139999999999</v>
      </c>
      <c r="H32" s="39">
        <v>0</v>
      </c>
      <c r="I32" s="39">
        <v>0</v>
      </c>
      <c r="J32" s="39">
        <f>236.805-0.279</f>
        <v>236.52600000000001</v>
      </c>
      <c r="K32" s="40">
        <f>211.467+15.651</f>
        <v>227.11800000000002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28015.481999999996</v>
      </c>
      <c r="G33" s="51">
        <f>20246.66+G32</f>
        <v>22305.874</v>
      </c>
      <c r="H33" s="51">
        <v>0</v>
      </c>
      <c r="I33" s="51">
        <v>0</v>
      </c>
      <c r="J33" s="51">
        <f>2060.965+J32</f>
        <v>2297.491</v>
      </c>
      <c r="K33" s="40">
        <f>3184.999+K32</f>
        <v>3412.1169999999997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11368.134000000005</v>
      </c>
      <c r="G34" s="54">
        <f>G23+G30-G33</f>
        <v>10417.558999999997</v>
      </c>
      <c r="H34" s="54">
        <v>0</v>
      </c>
      <c r="I34" s="54">
        <v>0</v>
      </c>
      <c r="J34" s="54">
        <f>J23+J30-J33</f>
        <v>776.82499999999982</v>
      </c>
      <c r="K34" s="54">
        <f>K23+K30-K33</f>
        <v>173.75000000000045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/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84</v>
      </c>
      <c r="J36" s="188"/>
      <c r="K36" s="188"/>
      <c r="L36" s="62"/>
    </row>
    <row r="37" spans="1:12" ht="15" customHeight="1">
      <c r="B37" s="63" t="s">
        <v>6</v>
      </c>
      <c r="C37" s="127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127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126" t="s">
        <v>62</v>
      </c>
      <c r="C40" s="126"/>
      <c r="D40" s="126"/>
      <c r="E40" s="126"/>
      <c r="F40" s="126"/>
      <c r="G40" s="126"/>
      <c r="H40" s="68"/>
      <c r="I40" s="191" t="s">
        <v>83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127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36">
    <cfRule type="containsText" dxfId="21" priority="11" stopIfTrue="1" operator="containsText" text="ЗАПОВНІТЬ">
      <formula>NOT(ISERROR(SEARCH("ЗАПОВНІТЬ",J36)))</formula>
    </cfRule>
  </conditionalFormatting>
  <conditionalFormatting sqref="C36">
    <cfRule type="containsText" dxfId="20" priority="10" stopIfTrue="1" operator="containsText" text="ЗАПОВНІТЬ">
      <formula>NOT(ISERROR(SEARCH("ЗАПОВНІТЬ",C36)))</formula>
    </cfRule>
  </conditionalFormatting>
  <conditionalFormatting sqref="F36">
    <cfRule type="containsText" dxfId="19" priority="9" stopIfTrue="1" operator="containsText" text="ЗАПОВНІТЬ">
      <formula>NOT(ISERROR(SEARCH("ЗАПОВНІТЬ",F36)))</formula>
    </cfRule>
  </conditionalFormatting>
  <conditionalFormatting sqref="J5">
    <cfRule type="containsText" dxfId="18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7" priority="6" stopIfTrue="1" operator="notEqual">
      <formula>0</formula>
    </cfRule>
    <cfRule type="cellIs" dxfId="16" priority="7" stopIfTrue="1" operator="equal">
      <formula>0</formula>
    </cfRule>
  </conditionalFormatting>
  <conditionalFormatting sqref="C35">
    <cfRule type="containsText" dxfId="15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14" priority="4" stopIfTrue="1" operator="equal">
      <formula>0</formula>
    </cfRule>
  </conditionalFormatting>
  <conditionalFormatting sqref="K41 K43 K39 K37">
    <cfRule type="containsText" dxfId="13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2" priority="2" stopIfTrue="1" operator="containsText" text="ЗАПОВНІТЬ">
      <formula>NOT(ISERROR(SEARCH("ЗАПОВНІТЬ",B37)))</formula>
    </cfRule>
  </conditionalFormatting>
  <conditionalFormatting sqref="G24:K24">
    <cfRule type="cellIs" dxfId="11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4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view="pageBreakPreview" topLeftCell="A22" zoomScale="66" zoomScaleNormal="75" zoomScaleSheetLayoutView="66" workbookViewId="0">
      <selection activeCell="F27" sqref="F27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76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131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31"/>
      <c r="G7" s="131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130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130">
        <v>4</v>
      </c>
      <c r="L21" s="130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11368.134</v>
      </c>
      <c r="G24" s="39">
        <v>10417.558999999999</v>
      </c>
      <c r="H24" s="39">
        <v>0</v>
      </c>
      <c r="I24" s="39">
        <v>0</v>
      </c>
      <c r="J24" s="39">
        <v>776.82500000000005</v>
      </c>
      <c r="K24" s="40">
        <v>173.75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100.07900000000001</v>
      </c>
      <c r="G26" s="39">
        <f>77.948+0.382</f>
        <v>78.33</v>
      </c>
      <c r="H26" s="39">
        <v>0</v>
      </c>
      <c r="I26" s="39">
        <v>0</v>
      </c>
      <c r="J26" s="39">
        <f>10.471-0.02</f>
        <v>10.451000000000001</v>
      </c>
      <c r="K26" s="40">
        <f>11.66-0.362</f>
        <v>11.298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1250.6050000000002</v>
      </c>
      <c r="G27" s="39">
        <f>931.335+G26</f>
        <v>1009.6650000000001</v>
      </c>
      <c r="H27" s="39">
        <v>0</v>
      </c>
      <c r="I27" s="39">
        <v>0</v>
      </c>
      <c r="J27" s="39">
        <f>113.127+J26</f>
        <v>123.578</v>
      </c>
      <c r="K27" s="40">
        <f>106.064+K26</f>
        <v>117.36199999999999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2707.1240000000003</v>
      </c>
      <c r="G29" s="39">
        <v>2108.4920000000002</v>
      </c>
      <c r="H29" s="39">
        <v>0</v>
      </c>
      <c r="I29" s="39">
        <v>0</v>
      </c>
      <c r="J29" s="39">
        <v>283.24799999999999</v>
      </c>
      <c r="K29" s="40">
        <v>315.38400000000001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33817.647000000004</v>
      </c>
      <c r="G30" s="39">
        <f>25200.745+G29</f>
        <v>27309.237000000001</v>
      </c>
      <c r="H30" s="39">
        <v>0</v>
      </c>
      <c r="I30" s="39">
        <v>0</v>
      </c>
      <c r="J30" s="39">
        <f>3050.808+J29</f>
        <v>3334.056</v>
      </c>
      <c r="K30" s="40">
        <f>2858.97+K29</f>
        <v>3174.3539999999998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3184.2619999999997</v>
      </c>
      <c r="G32" s="39">
        <f>1972.374-0.019</f>
        <v>1972.355</v>
      </c>
      <c r="H32" s="39">
        <v>0</v>
      </c>
      <c r="I32" s="39">
        <v>0</v>
      </c>
      <c r="J32" s="39">
        <f>882.576+88.323</f>
        <v>970.899</v>
      </c>
      <c r="K32" s="40">
        <f>240.989+0.019</f>
        <v>241.00800000000001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31199.743999999999</v>
      </c>
      <c r="G33" s="51">
        <f>22305.874+G32</f>
        <v>24278.228999999999</v>
      </c>
      <c r="H33" s="51">
        <v>0</v>
      </c>
      <c r="I33" s="51">
        <v>0</v>
      </c>
      <c r="J33" s="51">
        <f>2297.491+J32</f>
        <v>3268.39</v>
      </c>
      <c r="K33" s="40">
        <f>3412.117+K32</f>
        <v>3653.125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10890.996000000006</v>
      </c>
      <c r="G34" s="54">
        <f>G23+G30-G33</f>
        <v>10553.696000000004</v>
      </c>
      <c r="H34" s="54">
        <v>0</v>
      </c>
      <c r="I34" s="54">
        <v>0</v>
      </c>
      <c r="J34" s="54">
        <f>J23+J30-J33</f>
        <v>89.173999999999978</v>
      </c>
      <c r="K34" s="54">
        <f>K23+K30-K33</f>
        <v>248.12599999999975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/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84</v>
      </c>
      <c r="J36" s="188"/>
      <c r="K36" s="188"/>
      <c r="L36" s="62"/>
    </row>
    <row r="37" spans="1:12" ht="15" customHeight="1">
      <c r="B37" s="63" t="s">
        <v>6</v>
      </c>
      <c r="C37" s="129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129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128" t="s">
        <v>62</v>
      </c>
      <c r="C40" s="128"/>
      <c r="D40" s="128"/>
      <c r="E40" s="128"/>
      <c r="F40" s="128"/>
      <c r="G40" s="128"/>
      <c r="H40" s="68"/>
      <c r="I40" s="191" t="s">
        <v>83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129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10" priority="11" stopIfTrue="1" operator="containsText" text="ЗАПОВНІТЬ">
      <formula>NOT(ISERROR(SEARCH("ЗАПОВНІТЬ",J36)))</formula>
    </cfRule>
  </conditionalFormatting>
  <conditionalFormatting sqref="C36">
    <cfRule type="containsText" dxfId="9" priority="10" stopIfTrue="1" operator="containsText" text="ЗАПОВНІТЬ">
      <formula>NOT(ISERROR(SEARCH("ЗАПОВНІТЬ",C36)))</formula>
    </cfRule>
  </conditionalFormatting>
  <conditionalFormatting sqref="F36">
    <cfRule type="containsText" dxfId="8" priority="9" stopIfTrue="1" operator="containsText" text="ЗАПОВНІТЬ">
      <formula>NOT(ISERROR(SEARCH("ЗАПОВНІТЬ",F36)))</formula>
    </cfRule>
  </conditionalFormatting>
  <conditionalFormatting sqref="J5">
    <cfRule type="containsText" dxfId="7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6" priority="6" stopIfTrue="1" operator="notEqual">
      <formula>0</formula>
    </cfRule>
    <cfRule type="cellIs" dxfId="5" priority="7" stopIfTrue="1" operator="equal">
      <formula>0</formula>
    </cfRule>
  </conditionalFormatting>
  <conditionalFormatting sqref="C35">
    <cfRule type="containsText" dxfId="4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3" priority="4" stopIfTrue="1" operator="equal">
      <formula>0</formula>
    </cfRule>
  </conditionalFormatting>
  <conditionalFormatting sqref="K41 K43 K39 K37">
    <cfRule type="containsText" dxfId="2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" priority="2" stopIfTrue="1" operator="containsText" text="ЗАПОВНІТЬ">
      <formula>NOT(ISERROR(SEARCH("ЗАПОВНІТЬ",B37)))</formula>
    </cfRule>
  </conditionalFormatting>
  <conditionalFormatting sqref="G24:K24">
    <cfRule type="cellIs" dxfId="0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2"/>
  <dimension ref="A1:L45"/>
  <sheetViews>
    <sheetView topLeftCell="C21" zoomScale="75" zoomScaleNormal="75" workbookViewId="0">
      <selection activeCell="G33" sqref="G33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73</v>
      </c>
      <c r="G5" s="139"/>
      <c r="H5" s="4">
        <v>2021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75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75"/>
      <c r="G7" s="75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74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74">
        <v>4</v>
      </c>
      <c r="L21" s="74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5958.2089999999989</v>
      </c>
      <c r="G23" s="39">
        <v>5558.2969999999996</v>
      </c>
      <c r="H23" s="39">
        <v>0</v>
      </c>
      <c r="I23" s="39">
        <v>0</v>
      </c>
      <c r="J23" s="39">
        <v>-7.6619999999999999</v>
      </c>
      <c r="K23" s="40">
        <v>407.57400000000001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6912.299</v>
      </c>
      <c r="G24" s="39">
        <v>6290.701</v>
      </c>
      <c r="H24" s="39">
        <v>0</v>
      </c>
      <c r="I24" s="39">
        <v>0</v>
      </c>
      <c r="J24" s="39">
        <v>224.00899999999999</v>
      </c>
      <c r="K24" s="40">
        <v>397.589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118.99400000000001</v>
      </c>
      <c r="G26" s="39">
        <v>102.42400000000001</v>
      </c>
      <c r="H26" s="39">
        <v>0</v>
      </c>
      <c r="I26" s="39">
        <v>0</v>
      </c>
      <c r="J26" s="39">
        <v>9.4499999999999993</v>
      </c>
      <c r="K26" s="40">
        <v>7.12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984.00300000000004</v>
      </c>
      <c r="G27" s="39">
        <v>809.70500000000004</v>
      </c>
      <c r="H27" s="39">
        <v>0</v>
      </c>
      <c r="I27" s="39">
        <v>0</v>
      </c>
      <c r="J27" s="39">
        <v>82.756</v>
      </c>
      <c r="K27" s="40">
        <v>91.542000000000002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2023.9279999999999</v>
      </c>
      <c r="G29" s="39">
        <v>1742.07</v>
      </c>
      <c r="H29" s="39">
        <v>0</v>
      </c>
      <c r="I29" s="39">
        <v>0</v>
      </c>
      <c r="J29" s="39">
        <v>160.74299999999999</v>
      </c>
      <c r="K29" s="40">
        <v>121.11499999999999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16736.666000000001</v>
      </c>
      <c r="G30" s="39">
        <v>13771.83</v>
      </c>
      <c r="H30" s="39">
        <v>0</v>
      </c>
      <c r="I30" s="39">
        <v>0</v>
      </c>
      <c r="J30" s="39">
        <v>1407.7070000000001</v>
      </c>
      <c r="K30" s="40">
        <v>1557.1289999999999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2040.2529999999999</v>
      </c>
      <c r="G32" s="39">
        <v>1731.817</v>
      </c>
      <c r="H32" s="39">
        <v>0</v>
      </c>
      <c r="I32" s="39">
        <v>0</v>
      </c>
      <c r="J32" s="39">
        <v>167.42500000000001</v>
      </c>
      <c r="K32" s="40">
        <v>141.011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15798.901000000002</v>
      </c>
      <c r="G33" s="51">
        <v>13029.173000000001</v>
      </c>
      <c r="H33" s="51">
        <v>0</v>
      </c>
      <c r="I33" s="51">
        <v>0</v>
      </c>
      <c r="J33" s="51">
        <v>1182.7180000000001</v>
      </c>
      <c r="K33" s="40">
        <v>1587.01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F24+F29-F32</f>
        <v>6895.9739999999993</v>
      </c>
      <c r="G34" s="54">
        <f>G23+G30-G33</f>
        <v>6300.9539999999997</v>
      </c>
      <c r="H34" s="54">
        <v>0</v>
      </c>
      <c r="I34" s="54">
        <v>0</v>
      </c>
      <c r="J34" s="54">
        <f>J23+J30-J33</f>
        <v>217.327</v>
      </c>
      <c r="K34" s="54">
        <f>K23+K30-K33</f>
        <v>377.69299999999998</v>
      </c>
      <c r="L34" s="55">
        <f>L24+L29-L32</f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73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73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72" t="s">
        <v>62</v>
      </c>
      <c r="C40" s="72"/>
      <c r="D40" s="72"/>
      <c r="E40" s="72"/>
      <c r="F40" s="72"/>
      <c r="G40" s="72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73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164" priority="11" stopIfTrue="1" operator="containsText" text="ЗАПОВНІТЬ">
      <formula>NOT(ISERROR(SEARCH("ЗАПОВНІТЬ",J36)))</formula>
    </cfRule>
  </conditionalFormatting>
  <conditionalFormatting sqref="C36">
    <cfRule type="containsText" dxfId="163" priority="10" stopIfTrue="1" operator="containsText" text="ЗАПОВНІТЬ">
      <formula>NOT(ISERROR(SEARCH("ЗАПОВНІТЬ",C36)))</formula>
    </cfRule>
  </conditionalFormatting>
  <conditionalFormatting sqref="F36">
    <cfRule type="containsText" dxfId="162" priority="9" stopIfTrue="1" operator="containsText" text="ЗАПОВНІТЬ">
      <formula>NOT(ISERROR(SEARCH("ЗАПОВНІТЬ",F36)))</formula>
    </cfRule>
  </conditionalFormatting>
  <conditionalFormatting sqref="J5">
    <cfRule type="containsText" dxfId="161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60" priority="6" stopIfTrue="1" operator="notEqual">
      <formula>0</formula>
    </cfRule>
    <cfRule type="cellIs" dxfId="159" priority="7" stopIfTrue="1" operator="equal">
      <formula>0</formula>
    </cfRule>
  </conditionalFormatting>
  <conditionalFormatting sqref="C35">
    <cfRule type="containsText" dxfId="158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157" priority="4" stopIfTrue="1" operator="equal">
      <formula>0</formula>
    </cfRule>
  </conditionalFormatting>
  <conditionalFormatting sqref="K41 K43 K39 K37">
    <cfRule type="containsText" dxfId="156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55" priority="2" stopIfTrue="1" operator="containsText" text="ЗАПОВНІТЬ">
      <formula>NOT(ISERROR(SEARCH("ЗАПОВНІТЬ",B37)))</formula>
    </cfRule>
  </conditionalFormatting>
  <conditionalFormatting sqref="G24:K24">
    <cfRule type="cellIs" dxfId="154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3"/>
  <dimension ref="A1:L45"/>
  <sheetViews>
    <sheetView topLeftCell="A25" zoomScale="75" zoomScaleNormal="75" workbookViewId="0">
      <selection activeCell="H45" sqref="H45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74</v>
      </c>
      <c r="G5" s="139"/>
      <c r="H5" s="4">
        <v>2021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79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79"/>
      <c r="G7" s="79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78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78">
        <v>4</v>
      </c>
      <c r="L21" s="78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5958.2089999999989</v>
      </c>
      <c r="G23" s="39">
        <v>5558.2969999999996</v>
      </c>
      <c r="H23" s="39">
        <v>0</v>
      </c>
      <c r="I23" s="39">
        <v>0</v>
      </c>
      <c r="J23" s="39">
        <v>-7.6619999999999999</v>
      </c>
      <c r="K23" s="40">
        <v>407.57400000000001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6895.9740000000002</v>
      </c>
      <c r="G24" s="39">
        <v>6300.9539999999997</v>
      </c>
      <c r="H24" s="39">
        <v>0</v>
      </c>
      <c r="I24" s="39">
        <v>0</v>
      </c>
      <c r="J24" s="39">
        <v>217.327</v>
      </c>
      <c r="K24" s="40">
        <v>377.69299999999998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108.861</v>
      </c>
      <c r="G26" s="39">
        <v>91.753</v>
      </c>
      <c r="H26" s="39">
        <v>0</v>
      </c>
      <c r="I26" s="39">
        <v>0</v>
      </c>
      <c r="J26" s="39">
        <v>9.9429999999999996</v>
      </c>
      <c r="K26" s="40">
        <v>7.165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1092.864</v>
      </c>
      <c r="G27" s="39">
        <v>901.45799999999997</v>
      </c>
      <c r="H27" s="39">
        <v>0</v>
      </c>
      <c r="I27" s="39">
        <v>0</v>
      </c>
      <c r="J27" s="39">
        <v>92.698999999999998</v>
      </c>
      <c r="K27" s="40">
        <v>98.706999999999994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1851.579</v>
      </c>
      <c r="G29" s="39">
        <v>1560.577</v>
      </c>
      <c r="H29" s="39">
        <v>0</v>
      </c>
      <c r="I29" s="39">
        <v>0</v>
      </c>
      <c r="J29" s="39">
        <v>169.126</v>
      </c>
      <c r="K29" s="40">
        <v>121.876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18588.244999999999</v>
      </c>
      <c r="G30" s="39">
        <v>15332.406999999999</v>
      </c>
      <c r="H30" s="39">
        <v>0</v>
      </c>
      <c r="I30" s="39">
        <v>0</v>
      </c>
      <c r="J30" s="39">
        <v>1576.8330000000001</v>
      </c>
      <c r="K30" s="40">
        <v>1679.0050000000001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1647.3920000000001</v>
      </c>
      <c r="G32" s="39">
        <v>1458.1130000000001</v>
      </c>
      <c r="H32" s="39">
        <v>0</v>
      </c>
      <c r="I32" s="39">
        <v>0</v>
      </c>
      <c r="J32" s="39">
        <v>108.797</v>
      </c>
      <c r="K32" s="40">
        <v>80.481999999999999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17446.292999999998</v>
      </c>
      <c r="G33" s="51">
        <v>14487.286</v>
      </c>
      <c r="H33" s="51">
        <v>0</v>
      </c>
      <c r="I33" s="51">
        <v>0</v>
      </c>
      <c r="J33" s="51">
        <v>1291.5150000000001</v>
      </c>
      <c r="K33" s="40">
        <v>1667.492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G34+J34+K34</f>
        <v>7100.1609999999982</v>
      </c>
      <c r="G34" s="54">
        <f>G23+G30-G33</f>
        <v>6403.4179999999978</v>
      </c>
      <c r="H34" s="54">
        <v>0</v>
      </c>
      <c r="I34" s="54">
        <v>0</v>
      </c>
      <c r="J34" s="54">
        <f>J23+J30-J33</f>
        <v>277.65599999999995</v>
      </c>
      <c r="K34" s="54">
        <f>K23+K30-K33</f>
        <v>419.08700000000022</v>
      </c>
      <c r="L34" s="55">
        <f>L24+L29-L32</f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77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77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76" t="s">
        <v>62</v>
      </c>
      <c r="C40" s="76"/>
      <c r="D40" s="76"/>
      <c r="E40" s="76"/>
      <c r="F40" s="76"/>
      <c r="G40" s="76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77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153" priority="11" stopIfTrue="1" operator="containsText" text="ЗАПОВНІТЬ">
      <formula>NOT(ISERROR(SEARCH("ЗАПОВНІТЬ",J36)))</formula>
    </cfRule>
  </conditionalFormatting>
  <conditionalFormatting sqref="C36">
    <cfRule type="containsText" dxfId="152" priority="10" stopIfTrue="1" operator="containsText" text="ЗАПОВНІТЬ">
      <formula>NOT(ISERROR(SEARCH("ЗАПОВНІТЬ",C36)))</formula>
    </cfRule>
  </conditionalFormatting>
  <conditionalFormatting sqref="F36">
    <cfRule type="containsText" dxfId="151" priority="9" stopIfTrue="1" operator="containsText" text="ЗАПОВНІТЬ">
      <formula>NOT(ISERROR(SEARCH("ЗАПОВНІТЬ",F36)))</formula>
    </cfRule>
  </conditionalFormatting>
  <conditionalFormatting sqref="J5">
    <cfRule type="containsText" dxfId="150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49" priority="6" stopIfTrue="1" operator="notEqual">
      <formula>0</formula>
    </cfRule>
    <cfRule type="cellIs" dxfId="148" priority="7" stopIfTrue="1" operator="equal">
      <formula>0</formula>
    </cfRule>
  </conditionalFormatting>
  <conditionalFormatting sqref="C35">
    <cfRule type="containsText" dxfId="147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146" priority="4" stopIfTrue="1" operator="equal">
      <formula>0</formula>
    </cfRule>
  </conditionalFormatting>
  <conditionalFormatting sqref="K41 K43 K39 K37">
    <cfRule type="containsText" dxfId="145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44" priority="2" stopIfTrue="1" operator="containsText" text="ЗАПОВНІТЬ">
      <formula>NOT(ISERROR(SEARCH("ЗАПОВНІТЬ",B37)))</formula>
    </cfRule>
  </conditionalFormatting>
  <conditionalFormatting sqref="G24:K24">
    <cfRule type="cellIs" dxfId="143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4"/>
  <dimension ref="A1:L45"/>
  <sheetViews>
    <sheetView topLeftCell="C25" zoomScale="75" zoomScaleNormal="75" workbookViewId="0">
      <selection activeCell="C41" sqref="C41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75</v>
      </c>
      <c r="G5" s="139"/>
      <c r="H5" s="4">
        <v>2021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80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80"/>
      <c r="G7" s="80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81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81">
        <v>4</v>
      </c>
      <c r="L21" s="81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5958.2089999999989</v>
      </c>
      <c r="G23" s="39">
        <v>5558.2969999999996</v>
      </c>
      <c r="H23" s="39">
        <v>0</v>
      </c>
      <c r="I23" s="39">
        <v>0</v>
      </c>
      <c r="J23" s="39">
        <v>-7.6619999999999999</v>
      </c>
      <c r="K23" s="40">
        <v>407.57400000000001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7100.1610000000001</v>
      </c>
      <c r="G24" s="39">
        <v>6403.4179999999997</v>
      </c>
      <c r="H24" s="39">
        <v>0</v>
      </c>
      <c r="I24" s="39">
        <v>0</v>
      </c>
      <c r="J24" s="39">
        <v>277.65600000000001</v>
      </c>
      <c r="K24" s="40">
        <v>419.08699999999999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129.51</v>
      </c>
      <c r="G26" s="39">
        <v>104.496</v>
      </c>
      <c r="H26" s="39">
        <v>0</v>
      </c>
      <c r="I26" s="39">
        <v>0</v>
      </c>
      <c r="J26" s="39">
        <v>9.9610000000000003</v>
      </c>
      <c r="K26" s="40">
        <v>15.053000000000001</v>
      </c>
      <c r="L26" s="40"/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1222.374</v>
      </c>
      <c r="G27" s="39">
        <v>1005.954</v>
      </c>
      <c r="H27" s="39">
        <v>0</v>
      </c>
      <c r="I27" s="39">
        <v>0</v>
      </c>
      <c r="J27" s="39">
        <v>102.66</v>
      </c>
      <c r="K27" s="40">
        <v>113.76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2731.6</v>
      </c>
      <c r="G29" s="39">
        <v>2164.8789999999999</v>
      </c>
      <c r="H29" s="39">
        <v>0</v>
      </c>
      <c r="I29" s="39">
        <v>0</v>
      </c>
      <c r="J29" s="39">
        <v>200.23599999999999</v>
      </c>
      <c r="K29" s="40">
        <v>366.48500000000001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21319.845000000001</v>
      </c>
      <c r="G30" s="39">
        <v>17497.286</v>
      </c>
      <c r="H30" s="39">
        <v>0</v>
      </c>
      <c r="I30" s="39">
        <v>0</v>
      </c>
      <c r="J30" s="39">
        <v>1777.069</v>
      </c>
      <c r="K30" s="40">
        <v>2045.49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2116.4880000000003</v>
      </c>
      <c r="G32" s="39">
        <v>1669.97</v>
      </c>
      <c r="H32" s="39">
        <v>0</v>
      </c>
      <c r="I32" s="39">
        <v>0</v>
      </c>
      <c r="J32" s="39">
        <v>268.084</v>
      </c>
      <c r="K32" s="40">
        <v>178.434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19562.780999999999</v>
      </c>
      <c r="G33" s="51">
        <v>16157.255999999999</v>
      </c>
      <c r="H33" s="51">
        <v>0</v>
      </c>
      <c r="I33" s="51">
        <v>0</v>
      </c>
      <c r="J33" s="51">
        <v>1559.5989999999999</v>
      </c>
      <c r="K33" s="40">
        <v>1845.9259999999999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7715.273000000001</v>
      </c>
      <c r="G34" s="54">
        <f>G23+G30-G33</f>
        <v>6898.3269999999993</v>
      </c>
      <c r="H34" s="54">
        <v>0</v>
      </c>
      <c r="I34" s="54">
        <v>0</v>
      </c>
      <c r="J34" s="54">
        <f>J23+J30-J33</f>
        <v>209.80799999999999</v>
      </c>
      <c r="K34" s="54">
        <f>K23+K30-K33</f>
        <v>607.13799999999992</v>
      </c>
      <c r="L34" s="55">
        <f>L24+L29-L32</f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83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83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82" t="s">
        <v>62</v>
      </c>
      <c r="C40" s="82"/>
      <c r="D40" s="82"/>
      <c r="E40" s="82"/>
      <c r="F40" s="82"/>
      <c r="G40" s="82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83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142" priority="11" stopIfTrue="1" operator="containsText" text="ЗАПОВНІТЬ">
      <formula>NOT(ISERROR(SEARCH("ЗАПОВНІТЬ",J36)))</formula>
    </cfRule>
  </conditionalFormatting>
  <conditionalFormatting sqref="C36">
    <cfRule type="containsText" dxfId="141" priority="10" stopIfTrue="1" operator="containsText" text="ЗАПОВНІТЬ">
      <formula>NOT(ISERROR(SEARCH("ЗАПОВНІТЬ",C36)))</formula>
    </cfRule>
  </conditionalFormatting>
  <conditionalFormatting sqref="F36">
    <cfRule type="containsText" dxfId="140" priority="9" stopIfTrue="1" operator="containsText" text="ЗАПОВНІТЬ">
      <formula>NOT(ISERROR(SEARCH("ЗАПОВНІТЬ",F36)))</formula>
    </cfRule>
  </conditionalFormatting>
  <conditionalFormatting sqref="J5">
    <cfRule type="containsText" dxfId="139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38" priority="6" stopIfTrue="1" operator="notEqual">
      <formula>0</formula>
    </cfRule>
    <cfRule type="cellIs" dxfId="137" priority="7" stopIfTrue="1" operator="equal">
      <formula>0</formula>
    </cfRule>
  </conditionalFormatting>
  <conditionalFormatting sqref="C35">
    <cfRule type="containsText" dxfId="136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135" priority="4" stopIfTrue="1" operator="equal">
      <formula>0</formula>
    </cfRule>
  </conditionalFormatting>
  <conditionalFormatting sqref="K41 K43 K39 K37">
    <cfRule type="containsText" dxfId="134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33" priority="2" stopIfTrue="1" operator="containsText" text="ЗАПОВНІТЬ">
      <formula>NOT(ISERROR(SEARCH("ЗАПОВНІТЬ",B37)))</formula>
    </cfRule>
  </conditionalFormatting>
  <conditionalFormatting sqref="G24:K24">
    <cfRule type="cellIs" dxfId="132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5"/>
  <dimension ref="A1:L45"/>
  <sheetViews>
    <sheetView topLeftCell="D24" zoomScale="75" zoomScaleNormal="75" workbookViewId="0">
      <selection activeCell="J34" sqref="J34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76</v>
      </c>
      <c r="G5" s="139"/>
      <c r="H5" s="4">
        <v>2021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87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87"/>
      <c r="G7" s="87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86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86">
        <v>4</v>
      </c>
      <c r="L21" s="86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5958.2089999999989</v>
      </c>
      <c r="G23" s="39">
        <v>5558.2969999999996</v>
      </c>
      <c r="H23" s="39">
        <v>0</v>
      </c>
      <c r="I23" s="39">
        <v>0</v>
      </c>
      <c r="J23" s="39">
        <v>-7.6619999999999999</v>
      </c>
      <c r="K23" s="40">
        <v>407.57400000000001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7715.2730000000001</v>
      </c>
      <c r="G24" s="39">
        <v>6898.3270000000002</v>
      </c>
      <c r="H24" s="39">
        <v>0</v>
      </c>
      <c r="I24" s="39">
        <v>0</v>
      </c>
      <c r="J24" s="39">
        <v>209.80799999999999</v>
      </c>
      <c r="K24" s="40">
        <v>607.13800000000003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132.011</v>
      </c>
      <c r="G26" s="39">
        <v>99.707999999999998</v>
      </c>
      <c r="H26" s="39">
        <v>0</v>
      </c>
      <c r="I26" s="39">
        <v>0</v>
      </c>
      <c r="J26" s="39">
        <v>11.379</v>
      </c>
      <c r="K26" s="40">
        <v>20.923999999999999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1354.385</v>
      </c>
      <c r="G27" s="39">
        <v>1105.662</v>
      </c>
      <c r="H27" s="39">
        <v>0</v>
      </c>
      <c r="I27" s="39">
        <v>0</v>
      </c>
      <c r="J27" s="39">
        <v>114.039</v>
      </c>
      <c r="K27" s="40">
        <v>134.684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3572.9119999999998</v>
      </c>
      <c r="G29" s="39">
        <v>2697.105</v>
      </c>
      <c r="H29" s="39">
        <v>0</v>
      </c>
      <c r="I29" s="39">
        <v>0</v>
      </c>
      <c r="J29" s="39">
        <v>309.85199999999998</v>
      </c>
      <c r="K29" s="40">
        <v>565.95500000000004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24892.756999999998</v>
      </c>
      <c r="G30" s="39">
        <v>20194.391</v>
      </c>
      <c r="H30" s="39">
        <v>0</v>
      </c>
      <c r="I30" s="39">
        <v>0</v>
      </c>
      <c r="J30" s="39">
        <v>2086.9209999999998</v>
      </c>
      <c r="K30" s="40">
        <v>2611.4450000000002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3015.0920000000001</v>
      </c>
      <c r="G32" s="39">
        <v>2072.7440000000001</v>
      </c>
      <c r="H32" s="39">
        <v>0</v>
      </c>
      <c r="I32" s="39">
        <v>0</v>
      </c>
      <c r="J32" s="39">
        <v>496.15199999999999</v>
      </c>
      <c r="K32" s="40">
        <v>446.19600000000003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G33+J33+K33+L33</f>
        <v>22577.873</v>
      </c>
      <c r="G33" s="51">
        <v>18230</v>
      </c>
      <c r="H33" s="51">
        <v>0</v>
      </c>
      <c r="I33" s="51">
        <v>0</v>
      </c>
      <c r="J33" s="51">
        <v>2055.7510000000002</v>
      </c>
      <c r="K33" s="40">
        <v>2292.1219999999998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8273.0929999999971</v>
      </c>
      <c r="G34" s="54">
        <f>G23+G30-G33</f>
        <v>7522.6879999999983</v>
      </c>
      <c r="H34" s="54">
        <v>0</v>
      </c>
      <c r="I34" s="54">
        <v>0</v>
      </c>
      <c r="J34" s="54">
        <f>J23+J30-J33</f>
        <v>23.507999999999811</v>
      </c>
      <c r="K34" s="54">
        <f>K23+K30-K33</f>
        <v>726.89700000000039</v>
      </c>
      <c r="L34" s="55">
        <f>L24+L29-L32</f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85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85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84" t="s">
        <v>62</v>
      </c>
      <c r="C40" s="84"/>
      <c r="D40" s="84"/>
      <c r="E40" s="84"/>
      <c r="F40" s="84"/>
      <c r="G40" s="84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85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131" priority="11" stopIfTrue="1" operator="containsText" text="ЗАПОВНІТЬ">
      <formula>NOT(ISERROR(SEARCH("ЗАПОВНІТЬ",J36)))</formula>
    </cfRule>
  </conditionalFormatting>
  <conditionalFormatting sqref="C36">
    <cfRule type="containsText" dxfId="130" priority="10" stopIfTrue="1" operator="containsText" text="ЗАПОВНІТЬ">
      <formula>NOT(ISERROR(SEARCH("ЗАПОВНІТЬ",C36)))</formula>
    </cfRule>
  </conditionalFormatting>
  <conditionalFormatting sqref="F36">
    <cfRule type="containsText" dxfId="129" priority="9" stopIfTrue="1" operator="containsText" text="ЗАПОВНІТЬ">
      <formula>NOT(ISERROR(SEARCH("ЗАПОВНІТЬ",F36)))</formula>
    </cfRule>
  </conditionalFormatting>
  <conditionalFormatting sqref="J5">
    <cfRule type="containsText" dxfId="128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27" priority="6" stopIfTrue="1" operator="notEqual">
      <formula>0</formula>
    </cfRule>
    <cfRule type="cellIs" dxfId="126" priority="7" stopIfTrue="1" operator="equal">
      <formula>0</formula>
    </cfRule>
  </conditionalFormatting>
  <conditionalFormatting sqref="C35">
    <cfRule type="containsText" dxfId="125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124" priority="4" stopIfTrue="1" operator="equal">
      <formula>0</formula>
    </cfRule>
  </conditionalFormatting>
  <conditionalFormatting sqref="K41 K43 K39 K37">
    <cfRule type="containsText" dxfId="123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22" priority="2" stopIfTrue="1" operator="containsText" text="ЗАПОВНІТЬ">
      <formula>NOT(ISERROR(SEARCH("ЗАПОВНІТЬ",B37)))</formula>
    </cfRule>
  </conditionalFormatting>
  <conditionalFormatting sqref="G24:K24">
    <cfRule type="cellIs" dxfId="121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6"/>
  <dimension ref="A1:L45"/>
  <sheetViews>
    <sheetView topLeftCell="C22" zoomScale="75" zoomScaleNormal="75" workbookViewId="0">
      <selection activeCell="C22" sqref="A1:XFD1048576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77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88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88"/>
      <c r="G7" s="88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89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89">
        <v>4</v>
      </c>
      <c r="L21" s="89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8273.0930000000008</v>
      </c>
      <c r="G24" s="39">
        <v>7522.6880000000001</v>
      </c>
      <c r="H24" s="39">
        <v>0</v>
      </c>
      <c r="I24" s="39">
        <v>0</v>
      </c>
      <c r="J24" s="39">
        <v>23.507999999999999</v>
      </c>
      <c r="K24" s="40">
        <v>726.89700000000005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137.37099999999998</v>
      </c>
      <c r="G26" s="39">
        <v>106.73699999999999</v>
      </c>
      <c r="H26" s="39">
        <v>0</v>
      </c>
      <c r="I26" s="39">
        <v>0</v>
      </c>
      <c r="J26" s="39">
        <v>10.714</v>
      </c>
      <c r="K26" s="40">
        <v>19.920000000000002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137.37099999999998</v>
      </c>
      <c r="G27" s="39">
        <v>106.73699999999999</v>
      </c>
      <c r="H27" s="39">
        <v>0</v>
      </c>
      <c r="I27" s="39">
        <v>0</v>
      </c>
      <c r="J27" s="39">
        <v>10.714</v>
      </c>
      <c r="K27" s="40">
        <v>19.920000000000002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3715.8799999999997</v>
      </c>
      <c r="G29" s="39">
        <v>2887.2379999999998</v>
      </c>
      <c r="H29" s="39">
        <v>0</v>
      </c>
      <c r="I29" s="39">
        <v>0</v>
      </c>
      <c r="J29" s="39">
        <v>289.81200000000001</v>
      </c>
      <c r="K29" s="40">
        <v>538.83000000000004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3715.8799999999997</v>
      </c>
      <c r="G30" s="39">
        <v>2887.2379999999998</v>
      </c>
      <c r="H30" s="39">
        <v>0</v>
      </c>
      <c r="I30" s="39">
        <v>0</v>
      </c>
      <c r="J30" s="39">
        <v>289.81200000000001</v>
      </c>
      <c r="K30" s="40">
        <v>538.83000000000004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2365.1400000000003</v>
      </c>
      <c r="G32" s="39">
        <v>2141.8690000000001</v>
      </c>
      <c r="H32" s="39">
        <v>0</v>
      </c>
      <c r="I32" s="39">
        <v>0</v>
      </c>
      <c r="J32" s="39">
        <v>29.558</v>
      </c>
      <c r="K32" s="40">
        <v>193.71299999999999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2365.1400000000003</v>
      </c>
      <c r="G33" s="51">
        <v>2141.8690000000001</v>
      </c>
      <c r="H33" s="51">
        <v>0</v>
      </c>
      <c r="I33" s="51">
        <v>0</v>
      </c>
      <c r="J33" s="51">
        <v>29.558</v>
      </c>
      <c r="K33" s="40">
        <v>193.71299999999999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F24+F29-F32</f>
        <v>9623.8329999999987</v>
      </c>
      <c r="G34" s="54">
        <f>G24+G29-G32</f>
        <v>8268.0569999999989</v>
      </c>
      <c r="H34" s="54">
        <v>0</v>
      </c>
      <c r="I34" s="54">
        <v>0</v>
      </c>
      <c r="J34" s="54">
        <f>J24+J29-J32</f>
        <v>283.762</v>
      </c>
      <c r="K34" s="54">
        <f>K24+K29-K32</f>
        <v>1072.0140000000001</v>
      </c>
      <c r="L34" s="55">
        <f>L24+L29-L32</f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91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91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90" t="s">
        <v>62</v>
      </c>
      <c r="C40" s="90"/>
      <c r="D40" s="90"/>
      <c r="E40" s="90"/>
      <c r="F40" s="90"/>
      <c r="G40" s="90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91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36">
    <cfRule type="containsText" dxfId="120" priority="11" stopIfTrue="1" operator="containsText" text="ЗАПОВНІТЬ">
      <formula>NOT(ISERROR(SEARCH("ЗАПОВНІТЬ",J36)))</formula>
    </cfRule>
  </conditionalFormatting>
  <conditionalFormatting sqref="C36">
    <cfRule type="containsText" dxfId="119" priority="10" stopIfTrue="1" operator="containsText" text="ЗАПОВНІТЬ">
      <formula>NOT(ISERROR(SEARCH("ЗАПОВНІТЬ",C36)))</formula>
    </cfRule>
  </conditionalFormatting>
  <conditionalFormatting sqref="F36">
    <cfRule type="containsText" dxfId="118" priority="9" stopIfTrue="1" operator="containsText" text="ЗАПОВНІТЬ">
      <formula>NOT(ISERROR(SEARCH("ЗАПОВНІТЬ",F36)))</formula>
    </cfRule>
  </conditionalFormatting>
  <conditionalFormatting sqref="J5">
    <cfRule type="containsText" dxfId="117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16" priority="6" stopIfTrue="1" operator="notEqual">
      <formula>0</formula>
    </cfRule>
    <cfRule type="cellIs" dxfId="115" priority="7" stopIfTrue="1" operator="equal">
      <formula>0</formula>
    </cfRule>
  </conditionalFormatting>
  <conditionalFormatting sqref="C35">
    <cfRule type="containsText" dxfId="114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113" priority="4" stopIfTrue="1" operator="equal">
      <formula>0</formula>
    </cfRule>
  </conditionalFormatting>
  <conditionalFormatting sqref="K41 K43 K39 K37">
    <cfRule type="containsText" dxfId="112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11" priority="2" stopIfTrue="1" operator="containsText" text="ЗАПОВНІТЬ">
      <formula>NOT(ISERROR(SEARCH("ЗАПОВНІТЬ",B37)))</formula>
    </cfRule>
  </conditionalFormatting>
  <conditionalFormatting sqref="G24:K24">
    <cfRule type="cellIs" dxfId="110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8"/>
  <dimension ref="A1:L45"/>
  <sheetViews>
    <sheetView topLeftCell="C22" zoomScale="75" zoomScaleNormal="75" workbookViewId="0">
      <selection activeCell="G33" sqref="G33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78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95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95"/>
      <c r="G7" s="95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94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94">
        <v>4</v>
      </c>
      <c r="L21" s="94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f>G24+J24+K24</f>
        <v>10382.775000000001</v>
      </c>
      <c r="G24" s="39">
        <v>8658.473</v>
      </c>
      <c r="H24" s="39">
        <v>0</v>
      </c>
      <c r="I24" s="39">
        <v>0</v>
      </c>
      <c r="J24" s="39">
        <v>479.82499999999999</v>
      </c>
      <c r="K24" s="40">
        <v>1244.4770000000001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f>G26+J26+K26</f>
        <v>94.474999999999994</v>
      </c>
      <c r="G26" s="39">
        <v>63.009</v>
      </c>
      <c r="H26" s="39">
        <v>0</v>
      </c>
      <c r="I26" s="39">
        <v>0</v>
      </c>
      <c r="J26" s="39">
        <v>10.371</v>
      </c>
      <c r="K26" s="40">
        <v>21.094999999999999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344.20699999999999</v>
      </c>
      <c r="G27" s="39">
        <v>257.06299999999999</v>
      </c>
      <c r="H27" s="39">
        <v>0</v>
      </c>
      <c r="I27" s="39">
        <v>0</v>
      </c>
      <c r="J27" s="39">
        <v>31.135999999999999</v>
      </c>
      <c r="K27" s="40">
        <v>56.008000000000003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f>G29+J29+K29</f>
        <v>2555.556</v>
      </c>
      <c r="G29" s="39">
        <v>1704.402</v>
      </c>
      <c r="H29" s="39">
        <v>0</v>
      </c>
      <c r="I29" s="39">
        <v>0</v>
      </c>
      <c r="J29" s="39">
        <v>280.54399999999998</v>
      </c>
      <c r="K29" s="40">
        <v>570.61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9310.8189999999995</v>
      </c>
      <c r="G30" s="39">
        <v>6953.5640000000003</v>
      </c>
      <c r="H30" s="39">
        <v>0</v>
      </c>
      <c r="I30" s="39">
        <v>0</v>
      </c>
      <c r="J30" s="39">
        <v>842.24400000000003</v>
      </c>
      <c r="K30" s="40">
        <v>1515.011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1491.373</v>
      </c>
      <c r="G32" s="39">
        <v>1134.962</v>
      </c>
      <c r="H32" s="39">
        <v>0</v>
      </c>
      <c r="I32" s="39">
        <v>0</v>
      </c>
      <c r="J32" s="39">
        <v>181.49799999999999</v>
      </c>
      <c r="K32" s="40">
        <v>174.91300000000001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6136.9540000000006</v>
      </c>
      <c r="G33" s="51">
        <v>5248.3389999999999</v>
      </c>
      <c r="H33" s="51">
        <v>0</v>
      </c>
      <c r="I33" s="51">
        <v>0</v>
      </c>
      <c r="J33" s="51">
        <v>286.88099999999997</v>
      </c>
      <c r="K33" s="40">
        <v>601.73400000000004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11446.957999999999</v>
      </c>
      <c r="G34" s="54">
        <f>G23+G30-G33</f>
        <v>9227.9130000000005</v>
      </c>
      <c r="H34" s="54">
        <v>0</v>
      </c>
      <c r="I34" s="54">
        <v>0</v>
      </c>
      <c r="J34" s="54">
        <f>J23+J30-J33</f>
        <v>578.87100000000009</v>
      </c>
      <c r="K34" s="54">
        <f>K23+K30-K33</f>
        <v>1640.174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93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93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92" t="s">
        <v>62</v>
      </c>
      <c r="C40" s="92"/>
      <c r="D40" s="92"/>
      <c r="E40" s="92"/>
      <c r="F40" s="92"/>
      <c r="G40" s="92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93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109" priority="11" stopIfTrue="1" operator="containsText" text="ЗАПОВНІТЬ">
      <formula>NOT(ISERROR(SEARCH("ЗАПОВНІТЬ",J36)))</formula>
    </cfRule>
  </conditionalFormatting>
  <conditionalFormatting sqref="C36">
    <cfRule type="containsText" dxfId="108" priority="10" stopIfTrue="1" operator="containsText" text="ЗАПОВНІТЬ">
      <formula>NOT(ISERROR(SEARCH("ЗАПОВНІТЬ",C36)))</formula>
    </cfRule>
  </conditionalFormatting>
  <conditionalFormatting sqref="F36">
    <cfRule type="containsText" dxfId="107" priority="9" stopIfTrue="1" operator="containsText" text="ЗАПОВНІТЬ">
      <formula>NOT(ISERROR(SEARCH("ЗАПОВНІТЬ",F36)))</formula>
    </cfRule>
  </conditionalFormatting>
  <conditionalFormatting sqref="J5">
    <cfRule type="containsText" dxfId="106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05" priority="6" stopIfTrue="1" operator="notEqual">
      <formula>0</formula>
    </cfRule>
    <cfRule type="cellIs" dxfId="104" priority="7" stopIfTrue="1" operator="equal">
      <formula>0</formula>
    </cfRule>
  </conditionalFormatting>
  <conditionalFormatting sqref="C35">
    <cfRule type="containsText" dxfId="103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102" priority="4" stopIfTrue="1" operator="equal">
      <formula>0</formula>
    </cfRule>
  </conditionalFormatting>
  <conditionalFormatting sqref="K41 K43 K39 K37">
    <cfRule type="containsText" dxfId="101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00" priority="2" stopIfTrue="1" operator="containsText" text="ЗАПОВНІТЬ">
      <formula>NOT(ISERROR(SEARCH("ЗАПОВНІТЬ",B37)))</formula>
    </cfRule>
  </conditionalFormatting>
  <conditionalFormatting sqref="G24:K24">
    <cfRule type="cellIs" dxfId="99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9"/>
  <dimension ref="A1:L45"/>
  <sheetViews>
    <sheetView topLeftCell="A19" zoomScale="69" zoomScaleNormal="69" workbookViewId="0">
      <selection activeCell="G26" sqref="G26"/>
    </sheetView>
  </sheetViews>
  <sheetFormatPr defaultRowHeight="15"/>
  <cols>
    <col min="1" max="1" width="2.7109375" customWidth="1"/>
    <col min="3" max="3" width="62.42578125" customWidth="1"/>
    <col min="4" max="4" width="13.42578125" customWidth="1"/>
    <col min="5" max="5" width="10.140625" customWidth="1"/>
    <col min="6" max="6" width="25.85546875" customWidth="1"/>
    <col min="7" max="7" width="23.7109375" customWidth="1"/>
    <col min="8" max="9" width="20.7109375" customWidth="1"/>
    <col min="10" max="11" width="22.28515625" customWidth="1"/>
    <col min="12" max="12" width="25.570312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39" t="s">
        <v>79</v>
      </c>
      <c r="G5" s="139"/>
      <c r="H5" s="4">
        <v>2022</v>
      </c>
      <c r="I5" s="5" t="s">
        <v>5</v>
      </c>
      <c r="J5" s="6" t="s">
        <v>6</v>
      </c>
      <c r="K5" s="2"/>
      <c r="L5" s="2"/>
    </row>
    <row r="6" spans="1:12" ht="18.75">
      <c r="A6" s="1"/>
      <c r="B6" s="1"/>
      <c r="C6" s="7"/>
      <c r="D6" s="1"/>
      <c r="E6" s="7"/>
      <c r="F6" s="140" t="s">
        <v>7</v>
      </c>
      <c r="G6" s="140"/>
      <c r="H6" s="99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99"/>
      <c r="G7" s="99"/>
      <c r="H7" s="7"/>
      <c r="I7" s="7"/>
      <c r="J7" s="7"/>
      <c r="K7" s="7"/>
      <c r="L7" s="7"/>
    </row>
    <row r="8" spans="1:12" ht="16.5" thickBot="1">
      <c r="A8" s="1"/>
      <c r="B8" s="141" t="s">
        <v>8</v>
      </c>
      <c r="C8" s="142"/>
      <c r="D8" s="142"/>
      <c r="E8" s="142"/>
      <c r="F8" s="142"/>
      <c r="G8" s="143"/>
      <c r="H8" s="9" t="s">
        <v>9</v>
      </c>
      <c r="I8" s="10"/>
      <c r="J8" s="144" t="s">
        <v>10</v>
      </c>
      <c r="K8" s="144"/>
      <c r="L8" s="144"/>
    </row>
    <row r="9" spans="1:12" ht="15.75" customHeight="1">
      <c r="A9" s="1"/>
      <c r="B9" s="145" t="s">
        <v>11</v>
      </c>
      <c r="C9" s="146"/>
      <c r="D9" s="146"/>
      <c r="E9" s="146"/>
      <c r="F9" s="146"/>
      <c r="G9" s="147"/>
      <c r="H9" s="151" t="s">
        <v>12</v>
      </c>
      <c r="I9" s="10"/>
      <c r="J9" s="144" t="s">
        <v>13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1"/>
      <c r="J10" s="153"/>
      <c r="K10" s="153"/>
      <c r="L10" s="153"/>
    </row>
    <row r="11" spans="1:12" ht="9.9499999999999993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75">
      <c r="A12" s="1"/>
      <c r="B12" s="13" t="s">
        <v>14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8.75">
      <c r="A13" s="1"/>
      <c r="B13" s="18" t="s">
        <v>15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8.75">
      <c r="A14" s="1"/>
      <c r="B14" s="18" t="s">
        <v>72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8.75">
      <c r="A15" s="1"/>
      <c r="B15" s="24" t="s">
        <v>16</v>
      </c>
      <c r="C15" s="154" t="s">
        <v>71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5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18</v>
      </c>
      <c r="C18" s="159"/>
      <c r="D18" s="164" t="s">
        <v>19</v>
      </c>
      <c r="E18" s="167" t="s">
        <v>20</v>
      </c>
      <c r="F18" s="170" t="s">
        <v>21</v>
      </c>
      <c r="G18" s="173" t="s">
        <v>22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23</v>
      </c>
      <c r="H19" s="176"/>
      <c r="I19" s="176"/>
      <c r="J19" s="176"/>
      <c r="K19" s="177"/>
      <c r="L19" s="167" t="s">
        <v>24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25</v>
      </c>
      <c r="H20" s="28" t="s">
        <v>26</v>
      </c>
      <c r="I20" s="28" t="s">
        <v>27</v>
      </c>
      <c r="J20" s="28" t="s">
        <v>28</v>
      </c>
      <c r="K20" s="29" t="s">
        <v>29</v>
      </c>
      <c r="L20" s="169"/>
    </row>
    <row r="21" spans="1:12" ht="20.100000000000001" customHeight="1" thickBot="1">
      <c r="A21" s="1"/>
      <c r="B21" s="180" t="s">
        <v>30</v>
      </c>
      <c r="C21" s="174"/>
      <c r="D21" s="29" t="s">
        <v>31</v>
      </c>
      <c r="E21" s="98" t="s">
        <v>32</v>
      </c>
      <c r="F21" s="29">
        <v>1</v>
      </c>
      <c r="G21" s="29">
        <v>2</v>
      </c>
      <c r="H21" s="31" t="s">
        <v>33</v>
      </c>
      <c r="I21" s="31" t="s">
        <v>34</v>
      </c>
      <c r="J21" s="29">
        <v>3</v>
      </c>
      <c r="K21" s="98">
        <v>4</v>
      </c>
      <c r="L21" s="98">
        <v>5</v>
      </c>
    </row>
    <row r="22" spans="1:12" s="35" customFormat="1" ht="49.5" customHeight="1">
      <c r="A22" s="10"/>
      <c r="B22" s="181" t="s">
        <v>35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10"/>
      <c r="B23" s="178" t="s">
        <v>36</v>
      </c>
      <c r="C23" s="179"/>
      <c r="D23" s="36" t="s">
        <v>37</v>
      </c>
      <c r="E23" s="37" t="s">
        <v>38</v>
      </c>
      <c r="F23" s="38">
        <f>G23+J23+K23</f>
        <v>8273.0930000000008</v>
      </c>
      <c r="G23" s="39">
        <v>7522.6880000000001</v>
      </c>
      <c r="H23" s="39">
        <v>0</v>
      </c>
      <c r="I23" s="39">
        <v>0</v>
      </c>
      <c r="J23" s="39">
        <v>23.507999999999999</v>
      </c>
      <c r="K23" s="40">
        <v>726.89700000000005</v>
      </c>
      <c r="L23" s="40">
        <v>0</v>
      </c>
    </row>
    <row r="24" spans="1:12" s="35" customFormat="1" ht="24.95" customHeight="1" thickBot="1">
      <c r="A24" s="10"/>
      <c r="B24" s="183" t="s">
        <v>39</v>
      </c>
      <c r="C24" s="184"/>
      <c r="D24" s="41" t="s">
        <v>37</v>
      </c>
      <c r="E24" s="42" t="s">
        <v>40</v>
      </c>
      <c r="F24" s="43">
        <v>11446.958000000001</v>
      </c>
      <c r="G24" s="39">
        <v>9227.9130000000005</v>
      </c>
      <c r="H24" s="39">
        <v>0</v>
      </c>
      <c r="I24" s="39">
        <v>0</v>
      </c>
      <c r="J24" s="39">
        <v>578.87099999999998</v>
      </c>
      <c r="K24" s="40">
        <v>1640.174</v>
      </c>
      <c r="L24" s="44">
        <v>0</v>
      </c>
    </row>
    <row r="25" spans="1:12" s="35" customFormat="1" ht="24.95" customHeight="1">
      <c r="A25" s="10"/>
      <c r="B25" s="181" t="s">
        <v>41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10"/>
      <c r="B26" s="178" t="s">
        <v>42</v>
      </c>
      <c r="C26" s="179"/>
      <c r="D26" s="36" t="s">
        <v>43</v>
      </c>
      <c r="E26" s="37" t="s">
        <v>44</v>
      </c>
      <c r="F26" s="38">
        <v>86.515000000000001</v>
      </c>
      <c r="G26" s="39">
        <v>72.084000000000003</v>
      </c>
      <c r="H26" s="39">
        <v>0</v>
      </c>
      <c r="I26" s="39">
        <v>0</v>
      </c>
      <c r="J26" s="39">
        <v>8.2669999999999995</v>
      </c>
      <c r="K26" s="40">
        <v>6.1639999999999997</v>
      </c>
      <c r="L26" s="40">
        <v>0</v>
      </c>
    </row>
    <row r="27" spans="1:12" s="35" customFormat="1" ht="24.95" customHeight="1" thickBot="1">
      <c r="A27" s="10"/>
      <c r="B27" s="183" t="s">
        <v>45</v>
      </c>
      <c r="C27" s="184"/>
      <c r="D27" s="41" t="s">
        <v>43</v>
      </c>
      <c r="E27" s="42" t="s">
        <v>46</v>
      </c>
      <c r="F27" s="43">
        <f>G27+J27+K27</f>
        <v>430.72199999999998</v>
      </c>
      <c r="G27" s="39">
        <v>329.14699999999999</v>
      </c>
      <c r="H27" s="39">
        <v>0</v>
      </c>
      <c r="I27" s="39">
        <v>0</v>
      </c>
      <c r="J27" s="39">
        <v>39.402999999999999</v>
      </c>
      <c r="K27" s="40">
        <v>62.171999999999997</v>
      </c>
      <c r="L27" s="44">
        <v>0</v>
      </c>
    </row>
    <row r="28" spans="1:12" s="35" customFormat="1" ht="36.75" customHeight="1">
      <c r="A28" s="10"/>
      <c r="B28" s="181" t="s">
        <v>47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10"/>
      <c r="B29" s="178" t="s">
        <v>42</v>
      </c>
      <c r="C29" s="179"/>
      <c r="D29" s="36" t="s">
        <v>37</v>
      </c>
      <c r="E29" s="37" t="s">
        <v>48</v>
      </c>
      <c r="F29" s="38">
        <v>2339.8989999999999</v>
      </c>
      <c r="G29" s="39">
        <v>1949.5340000000001</v>
      </c>
      <c r="H29" s="39">
        <v>0</v>
      </c>
      <c r="I29" s="39">
        <v>0</v>
      </c>
      <c r="J29" s="39">
        <v>223.61799999999999</v>
      </c>
      <c r="K29" s="40">
        <v>166.74700000000001</v>
      </c>
      <c r="L29" s="40">
        <v>0</v>
      </c>
    </row>
    <row r="30" spans="1:12" s="35" customFormat="1" ht="24.95" customHeight="1" thickBot="1">
      <c r="A30" s="10"/>
      <c r="B30" s="183" t="s">
        <v>45</v>
      </c>
      <c r="C30" s="184"/>
      <c r="D30" s="41" t="s">
        <v>37</v>
      </c>
      <c r="E30" s="42" t="s">
        <v>49</v>
      </c>
      <c r="F30" s="43">
        <f>G30+J30+K30</f>
        <v>11650.717999999999</v>
      </c>
      <c r="G30" s="39">
        <v>8903.098</v>
      </c>
      <c r="H30" s="39">
        <v>0</v>
      </c>
      <c r="I30" s="39">
        <v>0</v>
      </c>
      <c r="J30" s="39">
        <v>1065.8620000000001</v>
      </c>
      <c r="K30" s="40">
        <v>1681.758</v>
      </c>
      <c r="L30" s="44">
        <v>0</v>
      </c>
    </row>
    <row r="31" spans="1:12" s="35" customFormat="1" ht="24.95" customHeight="1">
      <c r="A31" s="10"/>
      <c r="B31" s="181" t="s">
        <v>50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10"/>
      <c r="B32" s="178" t="s">
        <v>51</v>
      </c>
      <c r="C32" s="179"/>
      <c r="D32" s="36" t="s">
        <v>37</v>
      </c>
      <c r="E32" s="37" t="s">
        <v>52</v>
      </c>
      <c r="F32" s="38">
        <f>G32+J32+K32</f>
        <v>1814.183</v>
      </c>
      <c r="G32" s="39">
        <v>1446.1369999999999</v>
      </c>
      <c r="H32" s="39">
        <v>0</v>
      </c>
      <c r="I32" s="39">
        <v>0</v>
      </c>
      <c r="J32" s="39">
        <v>197.291</v>
      </c>
      <c r="K32" s="40">
        <v>170.755</v>
      </c>
      <c r="L32" s="40">
        <v>0</v>
      </c>
    </row>
    <row r="33" spans="1:12" s="35" customFormat="1" ht="24.95" customHeight="1" thickBot="1">
      <c r="A33" s="10"/>
      <c r="B33" s="183" t="s">
        <v>53</v>
      </c>
      <c r="C33" s="184"/>
      <c r="D33" s="49" t="s">
        <v>37</v>
      </c>
      <c r="E33" s="50" t="s">
        <v>54</v>
      </c>
      <c r="F33" s="43">
        <f>G33+J33+K33</f>
        <v>7951.1369999999988</v>
      </c>
      <c r="G33" s="51">
        <v>6694.4759999999997</v>
      </c>
      <c r="H33" s="51">
        <v>0</v>
      </c>
      <c r="I33" s="51">
        <v>0</v>
      </c>
      <c r="J33" s="51">
        <v>484.17200000000003</v>
      </c>
      <c r="K33" s="40">
        <v>772.48900000000003</v>
      </c>
      <c r="L33" s="52">
        <v>0</v>
      </c>
    </row>
    <row r="34" spans="1:12" s="35" customFormat="1" ht="37.5" customHeight="1" thickBot="1">
      <c r="A34" s="10"/>
      <c r="B34" s="185" t="s">
        <v>55</v>
      </c>
      <c r="C34" s="186"/>
      <c r="D34" s="29" t="s">
        <v>37</v>
      </c>
      <c r="E34" s="31" t="s">
        <v>56</v>
      </c>
      <c r="F34" s="53">
        <f>F23+F30-F33</f>
        <v>11972.674000000003</v>
      </c>
      <c r="G34" s="54">
        <f>G23+G30-G33</f>
        <v>9731.3100000000013</v>
      </c>
      <c r="H34" s="54">
        <v>0</v>
      </c>
      <c r="I34" s="54">
        <v>0</v>
      </c>
      <c r="J34" s="54">
        <f>J23+J30-J33</f>
        <v>605.19800000000009</v>
      </c>
      <c r="K34" s="54">
        <f>K23+K30-K33</f>
        <v>1636.1660000000002</v>
      </c>
      <c r="L34" s="55">
        <v>0</v>
      </c>
    </row>
    <row r="35" spans="1:12" ht="7.5" customHeight="1">
      <c r="A35" s="56"/>
      <c r="B35" s="57"/>
      <c r="C35" s="57" t="s">
        <v>6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00000000000001" customHeight="1">
      <c r="A36" s="56"/>
      <c r="B36" s="187" t="s">
        <v>66</v>
      </c>
      <c r="C36" s="187"/>
      <c r="D36" s="187"/>
      <c r="E36" s="187"/>
      <c r="F36" s="187"/>
      <c r="G36" s="187"/>
      <c r="H36" s="61"/>
      <c r="I36" s="188" t="s">
        <v>67</v>
      </c>
      <c r="J36" s="188"/>
      <c r="K36" s="188"/>
      <c r="L36" s="62"/>
    </row>
    <row r="37" spans="1:12" ht="15" customHeight="1">
      <c r="B37" s="63" t="s">
        <v>6</v>
      </c>
      <c r="C37" s="97"/>
      <c r="D37" s="65"/>
      <c r="E37" s="189" t="s">
        <v>57</v>
      </c>
      <c r="F37" s="189"/>
      <c r="G37" s="189"/>
      <c r="H37" s="66" t="s">
        <v>58</v>
      </c>
      <c r="I37" s="190" t="s">
        <v>59</v>
      </c>
      <c r="J37" s="190"/>
      <c r="K37" s="67" t="s">
        <v>6</v>
      </c>
    </row>
    <row r="38" spans="1:12" ht="15.75">
      <c r="B38" s="187" t="s">
        <v>60</v>
      </c>
      <c r="C38" s="187"/>
      <c r="D38" s="187"/>
      <c r="E38" s="187"/>
      <c r="F38" s="187"/>
      <c r="G38" s="187"/>
      <c r="H38" s="68"/>
      <c r="I38" s="191" t="s">
        <v>68</v>
      </c>
      <c r="J38" s="191"/>
      <c r="K38" s="191"/>
    </row>
    <row r="39" spans="1:12" ht="18" customHeight="1">
      <c r="B39" s="63" t="s">
        <v>6</v>
      </c>
      <c r="C39" s="97"/>
      <c r="D39" s="65"/>
      <c r="E39" s="192" t="s">
        <v>61</v>
      </c>
      <c r="F39" s="192"/>
      <c r="G39" s="192"/>
      <c r="H39" s="192"/>
      <c r="I39" s="190" t="s">
        <v>59</v>
      </c>
      <c r="J39" s="190"/>
      <c r="K39" s="67" t="s">
        <v>6</v>
      </c>
    </row>
    <row r="40" spans="1:12" ht="15.75">
      <c r="B40" s="96" t="s">
        <v>62</v>
      </c>
      <c r="C40" s="96"/>
      <c r="D40" s="96"/>
      <c r="E40" s="96"/>
      <c r="F40" s="96"/>
      <c r="G40" s="96"/>
      <c r="H40" s="68"/>
      <c r="I40" s="191" t="s">
        <v>69</v>
      </c>
      <c r="J40" s="191"/>
      <c r="K40" s="191"/>
    </row>
    <row r="41" spans="1:12" ht="17.25" customHeight="1">
      <c r="B41" s="63" t="s">
        <v>6</v>
      </c>
      <c r="C41" s="70"/>
      <c r="D41" s="65"/>
      <c r="E41" s="193" t="s">
        <v>63</v>
      </c>
      <c r="F41" s="193"/>
      <c r="G41" s="193"/>
      <c r="H41" s="193"/>
      <c r="I41" s="190" t="s">
        <v>59</v>
      </c>
      <c r="J41" s="190"/>
      <c r="K41" s="67" t="s">
        <v>6</v>
      </c>
    </row>
    <row r="42" spans="1:12" ht="15.75">
      <c r="B42" s="187" t="s">
        <v>64</v>
      </c>
      <c r="C42" s="187"/>
      <c r="D42" s="187"/>
      <c r="E42" s="187"/>
      <c r="F42" s="187"/>
      <c r="G42" s="187"/>
      <c r="H42" s="68"/>
      <c r="I42" s="191" t="s">
        <v>70</v>
      </c>
      <c r="J42" s="191"/>
      <c r="K42" s="191"/>
    </row>
    <row r="43" spans="1:12" ht="13.5" customHeight="1">
      <c r="B43" s="63" t="s">
        <v>6</v>
      </c>
      <c r="C43" s="97"/>
      <c r="D43" s="65"/>
      <c r="E43" s="192" t="s">
        <v>65</v>
      </c>
      <c r="F43" s="192"/>
      <c r="G43" s="192"/>
      <c r="H43" s="192"/>
      <c r="I43" s="190" t="s">
        <v>59</v>
      </c>
      <c r="J43" s="190"/>
      <c r="K43" s="67" t="s">
        <v>6</v>
      </c>
    </row>
    <row r="44" spans="1:12" s="71" customFormat="1" ht="18.75"/>
    <row r="45" spans="1:12" ht="26.25" customHeight="1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98" priority="11" stopIfTrue="1" operator="containsText" text="ЗАПОВНІТЬ">
      <formula>NOT(ISERROR(SEARCH("ЗАПОВНІТЬ",J36)))</formula>
    </cfRule>
  </conditionalFormatting>
  <conditionalFormatting sqref="C36">
    <cfRule type="containsText" dxfId="97" priority="10" stopIfTrue="1" operator="containsText" text="ЗАПОВНІТЬ">
      <formula>NOT(ISERROR(SEARCH("ЗАПОВНІТЬ",C36)))</formula>
    </cfRule>
  </conditionalFormatting>
  <conditionalFormatting sqref="F36">
    <cfRule type="containsText" dxfId="96" priority="9" stopIfTrue="1" operator="containsText" text="ЗАПОВНІТЬ">
      <formula>NOT(ISERROR(SEARCH("ЗАПОВНІТЬ",F36)))</formula>
    </cfRule>
  </conditionalFormatting>
  <conditionalFormatting sqref="J5">
    <cfRule type="containsText" dxfId="95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94" priority="6" stopIfTrue="1" operator="notEqual">
      <formula>0</formula>
    </cfRule>
    <cfRule type="cellIs" dxfId="93" priority="7" stopIfTrue="1" operator="equal">
      <formula>0</formula>
    </cfRule>
  </conditionalFormatting>
  <conditionalFormatting sqref="C35">
    <cfRule type="containsText" dxfId="92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91" priority="4" stopIfTrue="1" operator="equal">
      <formula>0</formula>
    </cfRule>
  </conditionalFormatting>
  <conditionalFormatting sqref="K41 K43 K39 K37">
    <cfRule type="containsText" dxfId="90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89" priority="2" stopIfTrue="1" operator="containsText" text="ЗАПОВНІТЬ">
      <formula>NOT(ISERROR(SEARCH("ЗАПОВНІТЬ",B37)))</formula>
    </cfRule>
  </conditionalFormatting>
  <conditionalFormatting sqref="G24:K24">
    <cfRule type="cellIs" dxfId="88" priority="1" stopIfTrue="1" operator="equal">
      <formula>0</formula>
    </cfRule>
  </conditionalFormatting>
  <pageMargins left="0.11811023622047245" right="0.11811023622047245" top="0" bottom="0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6</vt:i4>
      </vt:variant>
    </vt:vector>
  </HeadingPairs>
  <TitlesOfParts>
    <vt:vector size="23" baseType="lpstr">
      <vt:lpstr>серпень 21</vt:lpstr>
      <vt:lpstr>вересень 21</vt:lpstr>
      <vt:lpstr>жовтень 21</vt:lpstr>
      <vt:lpstr>лис21</vt:lpstr>
      <vt:lpstr>гру21</vt:lpstr>
      <vt:lpstr>січ22</vt:lpstr>
      <vt:lpstr>Аркуш1</vt:lpstr>
      <vt:lpstr>бер22</vt:lpstr>
      <vt:lpstr>кві22</vt:lpstr>
      <vt:lpstr>тра22</vt:lpstr>
      <vt:lpstr>чер22</vt:lpstr>
      <vt:lpstr>лип22</vt:lpstr>
      <vt:lpstr>сер 22</vt:lpstr>
      <vt:lpstr>вер 22</vt:lpstr>
      <vt:lpstr>жов 22</vt:lpstr>
      <vt:lpstr>лис 22</vt:lpstr>
      <vt:lpstr>гру 22</vt:lpstr>
      <vt:lpstr>'вер 22'!Область_друку</vt:lpstr>
      <vt:lpstr>'гру 22'!Область_друку</vt:lpstr>
      <vt:lpstr>'жов 22'!Область_друку</vt:lpstr>
      <vt:lpstr>'лис 22'!Область_друку</vt:lpstr>
      <vt:lpstr>'сер 22'!Область_друку</vt:lpstr>
      <vt:lpstr>'серпень 21'!Область_друку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2023-01-16T12:29:17Z</dcterms:modified>
</cp:coreProperties>
</file>